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305" tabRatio="825"/>
  </bookViews>
  <sheets>
    <sheet name="ИП 23-28" sheetId="14" r:id="rId1"/>
    <sheet name="кредит 15%" sheetId="17" r:id="rId2"/>
    <sheet name="кредит 3%" sheetId="18" r:id="rId3"/>
    <sheet name="свод кредиты" sheetId="19" r:id="rId4"/>
    <sheet name="график погашения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___xlfn.BAHTTEXT" hidden="1">#NAME?</definedName>
    <definedName name="___fgd2" hidden="1">{"'Северо-Никольское '!$A$6:$J$40"}</definedName>
    <definedName name="___xlfn.BAHTTEXT" hidden="1">#NAME?</definedName>
    <definedName name="__fgd2" hidden="1">{"'Северо-Никольское '!$A$6:$J$40"}</definedName>
    <definedName name="__xlfn.BAHTTEXT" hidden="1">#NAME?</definedName>
    <definedName name="_acc07" localSheetId="0" hidden="1">[1]Data!#REF!</definedName>
    <definedName name="_acc07" hidden="1">[1]Data!#REF!</definedName>
    <definedName name="_Dist_Bin" localSheetId="0" hidden="1">#REF!</definedName>
    <definedName name="_Dist_Bin" hidden="1">#REF!</definedName>
    <definedName name="_dka" localSheetId="0" hidden="1">[1]Data!#REF!</definedName>
    <definedName name="_dka" hidden="1">[1]Data!#REF!</definedName>
    <definedName name="_fgd2" hidden="1">{"'Северо-Никольское '!$A$6:$J$40"}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Parse_In" localSheetId="0" hidden="1">#REF!</definedName>
    <definedName name="_Parse_In" hidden="1">#REF!</definedName>
    <definedName name="_Sort" localSheetId="0" hidden="1">#REF!</definedName>
    <definedName name="_Sort" hidden="1">#REF!</definedName>
    <definedName name="_xlnm._FilterDatabase" localSheetId="0" hidden="1">#REF!</definedName>
    <definedName name="_xlnm._FilterDatabase" hidden="1">#REF!</definedName>
    <definedName name="AccessDatabase" hidden="1">"C:\DRIVERS\video\Мои документы\Бизнес -план 2000 г\Баланс нефти 2000.mdb"</definedName>
    <definedName name="activity">#N/A</definedName>
    <definedName name="aew" hidden="1">{"print95",#N/A,FALSE,"1995E.XLS";"print96",#N/A,FALSE,"1996E.XLS"}</definedName>
    <definedName name="anscount" hidden="1">1</definedName>
    <definedName name="AS2DocOpenMode" hidden="1">"AS2DocumentEdit"</definedName>
    <definedName name="AS2DocOpenMode1" hidden="1">"AS2DocumentBrowse"</definedName>
    <definedName name="AS2ReportLS" hidden="1">1</definedName>
    <definedName name="AS2SyncStepLS" hidden="1">0</definedName>
    <definedName name="AS2TickmarkLS" localSheetId="0" hidden="1">#REF!</definedName>
    <definedName name="AS2TickmarkLS" hidden="1">#REF!</definedName>
    <definedName name="AS2VersionLS" hidden="1">300</definedName>
    <definedName name="asd" hidden="1">{"print95",#N/A,FALSE,"1995E.XLS";"print96",#N/A,FALSE,"1996E.XLS"}</definedName>
    <definedName name="asdf" hidden="1">{"print95",#N/A,FALSE,"1995E.XLS";"print96",#N/A,FALSE,"1996E.XLS"}</definedName>
    <definedName name="awq" hidden="1">{"print95",#N/A,FALSE,"1995E.XLS";"print96",#N/A,FALSE,"1996E.XLS"}</definedName>
    <definedName name="aws" hidden="1">{"print95",#N/A,FALSE,"1995E.XLS";"print96",#N/A,FALSE,"1996E.XLS"}</definedName>
    <definedName name="BAL">[2]Баланс!$F$10:$AD$14</definedName>
    <definedName name="BG_Del" hidden="1">15</definedName>
    <definedName name="BG_Ins" hidden="1">4</definedName>
    <definedName name="BG_Mod" hidden="1">6</definedName>
    <definedName name="Button_1">"НоваяОборотка_Лист1_Таблица"</definedName>
    <definedName name="CALC_IDENTIFIER">[3]TECHSHEET!$G$20</definedName>
    <definedName name="cnt_top">'[4]Балансовые показатели'!$E$262</definedName>
    <definedName name="cty" hidden="1">{"'Северо-Никольское '!$A$6:$J$40"}</definedName>
    <definedName name="DeprOpen_СоцМашПроч" hidden="1">[5]XLR_NoRangeSheet!$AA$9</definedName>
    <definedName name="dfgh" localSheetId="0" hidden="1">#REF!</definedName>
    <definedName name="dfgh" hidden="1">#REF!</definedName>
    <definedName name="diametr_list">[6]TEHSHEET!$Y$2:$Y$22</definedName>
    <definedName name="end_P20" localSheetId="0">#REF!</definedName>
    <definedName name="end_P20">#REF!</definedName>
    <definedName name="entaqeth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ntn" hidden="1">{#N/A,#N/A,FALSE,"Основная (2)";#N/A,#N/A,FALSE,"Основная (3)";#N/A,#N/A,FALSE,"Окупаемость (2)"}</definedName>
    <definedName name="er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erty" hidden="1">"AS2DocumentBrowse"</definedName>
    <definedName name="etjmnty" hidden="1">{#N/A,#N/A,FALSE,"Расч. приб. за год";#N/A,#N/A,FALSE,"Раздел продукции";#N/A,#N/A,FALSE,"Раздел продукции без возмещ.";#N/A,#N/A,FALSE,"Затраты"}</definedName>
    <definedName name="etntynwetn" hidden="1">{#N/A,#N/A,FALSE,"Расч. приб. за год";#N/A,#N/A,FALSE,"Раздел продукции";#N/A,#N/A,FALSE,"Раздел продукции без возмещ.";#N/A,#N/A,FALSE,"Затраты"}</definedName>
    <definedName name="etnyetn" hidden="1">{#N/A,#N/A,FALSE,"Расчет 1";#N/A,#N/A,FALSE,"Расчет 2";#N/A,#N/A,FALSE,"Расчет 2а"}</definedName>
    <definedName name="etnyn" hidden="1">{#N/A,#N/A,FALSE,"план 1996 (3)";#N/A,#N/A,FALSE,"план 1996 (1)"}</definedName>
    <definedName name="etnytetn" hidden="1">{#N/A,#N/A,FALSE,"Расчет 1";#N/A,#N/A,FALSE,"Расчет 2";#N/A,#N/A,FALSE,"Расчет 2а"}</definedName>
    <definedName name="etymetu" hidden="1">{#N/A,#N/A,FALSE,"Основная (2)";#N/A,#N/A,FALSE,"Основная (3)";#N/A,#N/A,FALSE,"Окупаемость (2)"}</definedName>
    <definedName name="etymjety" hidden="1">{#N/A,#N/A,FALSE,"план 1996 (3)";#N/A,#N/A,FALSE,"план 1996 (1)"}</definedName>
    <definedName name="etynetnye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tynmjetm" hidden="1">{#N/A,#N/A,FALSE,"СКО VIII";#N/A,#N/A,FALSE,"КРС VIII"}</definedName>
    <definedName name="etyntyn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xcel" hidden="1">{"'Северо-Никольское '!$A$6:$J$40"}</definedName>
    <definedName name="fg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fgfgh" hidden="1">{#N/A,#N/A,FALSE,"1996";#N/A,#N/A,FALSE,"1995";#N/A,#N/A,FALSE,"1994"}</definedName>
    <definedName name="fil" localSheetId="0">#REF!</definedName>
    <definedName name="fil">#REF!</definedName>
    <definedName name="fil_flag" localSheetId="0">#REF!</definedName>
    <definedName name="fil_flag">#REF!</definedName>
    <definedName name="fin_analys">#N/A</definedName>
    <definedName name="FPOK_P1_1_1">'[7]Финансовые показатели'!$W$20</definedName>
    <definedName name="FPOK_P1_1_2_1">'[7]Финансовые показатели'!$W$22</definedName>
    <definedName name="FPOK_P1_1_2_2">'[7]Финансовые показатели'!$W$23</definedName>
    <definedName name="FPOK_P1_1_3">'[7]Финансовые показатели'!$W$24</definedName>
    <definedName name="FPOK_P1_1_4">'[7]Финансовые показатели'!$W$25</definedName>
    <definedName name="FPOK_P1_2">'[7]Финансовые показатели'!$W$26</definedName>
    <definedName name="FPOK_P1_3">'[7]Финансовые показатели'!$W$27</definedName>
    <definedName name="FPOK_P1_4">'[7]Финансовые показатели'!$W$28</definedName>
    <definedName name="FPOK_P1_5">'[7]Финансовые показатели'!$W$29</definedName>
    <definedName name="FPOK_P1_6_1">'[7]Финансовые показатели'!$W$31</definedName>
    <definedName name="FPOK_P1_6_2">'[7]Финансовые показатели'!$W$32</definedName>
    <definedName name="FPOK_P1_6_3">'[7]Финансовые показатели'!$W$33</definedName>
    <definedName name="FPOK_P1_6_4">'[7]Финансовые показатели'!$W$34</definedName>
    <definedName name="FPOK_P1_6_5">'[7]Финансовые показатели'!$W$35</definedName>
    <definedName name="FPOK_P1_7">'[7]Финансовые показатели'!$W$36</definedName>
    <definedName name="FPOK_P1_8">'[7]Финансовые показатели'!$W$37</definedName>
    <definedName name="FPOK_P11">'[7]Финансовые показатели'!$W$64</definedName>
    <definedName name="FPOK_P13">'[7]Финансовые показатели'!$W$66</definedName>
    <definedName name="FPOK_P14">'[7]Финансовые показатели'!$W$67</definedName>
    <definedName name="FPOK_P2_1">'[7]Финансовые показатели'!$W$39</definedName>
    <definedName name="FPOK_P2_2">'[7]Финансовые показатели'!$W$40</definedName>
    <definedName name="FPOK_P2_3">'[7]Финансовые показатели'!$W$41</definedName>
    <definedName name="FPOK_P2_4">'[7]Финансовые показатели'!$W$42</definedName>
    <definedName name="FPOK_P3_1">'[7]Финансовые показатели'!$W$44</definedName>
    <definedName name="FPOK_P3_2">'[7]Финансовые показатели'!$W$45</definedName>
    <definedName name="FPOK_P3_3">'[7]Финансовые показатели'!$W$46</definedName>
    <definedName name="FPOK_P3_4">'[7]Финансовые показатели'!$W$47</definedName>
    <definedName name="FPOK_P3_5">'[7]Финансовые показатели'!$W$48</definedName>
    <definedName name="FPOK_P4">'[7]Финансовые показатели'!$W$49</definedName>
    <definedName name="FPOK_P5">'[7]Финансовые показатели'!$W$50</definedName>
    <definedName name="FPOK_P6">'[7]Финансовые показатели'!$W$51</definedName>
    <definedName name="FPOK_P7">'[7]Финансовые показатели'!$W$52</definedName>
    <definedName name="FPOK_P8">'[7]Финансовые показатели'!$W$53</definedName>
    <definedName name="FPOK_P9_1">'[7]Финансовые показатели'!$W$55</definedName>
    <definedName name="FPOK_P9_2">'[7]Финансовые показатели'!$W$56</definedName>
    <definedName name="FPOK_P9_3">'[7]Финансовые показатели'!$W$57</definedName>
    <definedName name="FPOK_P9_4">'[7]Финансовые показатели'!$W$58</definedName>
    <definedName name="FPOK_P9_5">'[7]Финансовые показатели'!$W$59</definedName>
    <definedName name="FPOK_P9_6">'[7]Финансовые показатели'!$W$60</definedName>
    <definedName name="FPOK_P9_7">'[7]Финансовые показатели'!$W$61</definedName>
    <definedName name="FPOK_P9_8">'[7]Финансовые показатели'!$W$62</definedName>
    <definedName name="FPOKIT_P1_1_1">[8]индикатор_2014!$W$20</definedName>
    <definedName name="FPOKIT_P1_1_2">[8]индикатор_2014!$W$21</definedName>
    <definedName name="FPOKIT_P1_1_2_1">[8]индикатор_2014!$W$22</definedName>
    <definedName name="FPOKIT_P1_1_3">[8]индикатор_2014!$W$24</definedName>
    <definedName name="FPOKIT_P1_1_4">[8]индикатор_2014!$W$25</definedName>
    <definedName name="FPOKIT_P1_2">[8]индикатор_2014!$W$26</definedName>
    <definedName name="FPOKIT_P1_3">[8]индикатор_2014!$W$27</definedName>
    <definedName name="FPOKIT_P1_4">[8]индикатор_2014!$W$28</definedName>
    <definedName name="FPOKIT_P1_5">[8]индикатор_2014!$W$29</definedName>
    <definedName name="FPOKIT_P1_6_1">[8]индикатор_2014!$W$31</definedName>
    <definedName name="FPOKIT_P1_6_2">[8]индикатор_2014!$W$32</definedName>
    <definedName name="FPOKIT_P1_6_3">[8]индикатор_2014!$W$33</definedName>
    <definedName name="FPOKIT_P1_6_4">[8]индикатор_2014!$W$34</definedName>
    <definedName name="FPOKIT_P1_6_5">[8]индикатор_2014!$W$35</definedName>
    <definedName name="FPOKIT_P1_7">[8]индикатор_2014!$W$36</definedName>
    <definedName name="FPOKIT_P1_8">[8]индикатор_2014!$W$37</definedName>
    <definedName name="FPOKIT_P11">[8]индикатор_2014!$W$64</definedName>
    <definedName name="FPOKIT_P12">[8]индикатор_2014!$W$65</definedName>
    <definedName name="FPOKIT_P15">[8]индикатор_2014!$W$68</definedName>
    <definedName name="FPOKIT_P19">[8]индикатор_2014!$W$72</definedName>
    <definedName name="FPOKIT_P2_1">[8]индикатор_2014!$W$39</definedName>
    <definedName name="FPOKIT_P2_2">[8]индикатор_2014!$W$40</definedName>
    <definedName name="FPOKIT_P2_3">[8]индикатор_2014!$W$41</definedName>
    <definedName name="FPOKIT_P2_4">[8]индикатор_2014!$W$42</definedName>
    <definedName name="FPOKIT_P20">[8]индикатор_2014!$W$73</definedName>
    <definedName name="FPOKIT_P21">[8]индикатор_2014!$W$74</definedName>
    <definedName name="FPOKIT_P3_1">[8]индикатор_2014!$W$44</definedName>
    <definedName name="FPOKIT_P3_2">[8]индикатор_2014!$W$45</definedName>
    <definedName name="FPOKIT_P3_3">[8]индикатор_2014!$W$46</definedName>
    <definedName name="FPOKIT_P3_4">[8]индикатор_2014!$W$47</definedName>
    <definedName name="FPOKIT_P3_5">[8]индикатор_2014!$W$48</definedName>
    <definedName name="FPOKIT_P4">[8]индикатор_2014!$W$49</definedName>
    <definedName name="FPOKIT_P5">[8]индикатор_2014!$W$50</definedName>
    <definedName name="FPOKIT_P6">[8]индикатор_2014!$W$51</definedName>
    <definedName name="FPOKIT_P7">[8]индикатор_2014!$W$52</definedName>
    <definedName name="FPOKIT_P8">[8]индикатор_2014!$W$53</definedName>
    <definedName name="FPOKIT_P9_1">[8]индикатор_2014!$W$55</definedName>
    <definedName name="FPOKIT_P9_2">[8]индикатор_2014!$W$56</definedName>
    <definedName name="FPOKIT_P9_3">[8]индикатор_2014!$W$57</definedName>
    <definedName name="FPOKIT_P9_4">[8]индикатор_2014!$W$58</definedName>
    <definedName name="FPOKIT_P9_5">[8]индикатор_2014!$W$59</definedName>
    <definedName name="FPOKIT_P9_6">[8]индикатор_2014!$W$60</definedName>
    <definedName name="FPOKIT_P9_7">[8]индикатор_2014!$W$61</definedName>
    <definedName name="FPOKIT_P9_8">[8]индикатор_2014!$W$62</definedName>
    <definedName name="fsgb" hidden="1">{#N/A,#N/A,FALSE,"план 1996 (3)";#N/A,#N/A,FALSE,"план 1996 (1)"}</definedName>
    <definedName name="gaz_count" localSheetId="0">#REF!</definedName>
    <definedName name="gaz_count">#REF!</definedName>
    <definedName name="gbgbgbg" hidden="1">{#N/A,#N/A,FALSE,"Aging Summary";#N/A,#N/A,FALSE,"Ratio Analysis";#N/A,#N/A,FALSE,"Test 120 Day Accts";#N/A,#N/A,FALSE,"Tickmarks"}</definedName>
    <definedName name="gerg" hidden="1">"AS2DocumentBrowse"</definedName>
    <definedName name="gfbs" hidden="1">{#N/A,#N/A,FALSE,"Основная (2)";#N/A,#N/A,FALSE,"Основная (3)";#N/A,#N/A,FALSE,"Окупаемость (2)"}</definedName>
    <definedName name="gjh" localSheetId="0" hidden="1">[9]Данные!#REF!</definedName>
    <definedName name="gjh" hidden="1">[9]Данные!#REF!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od">[10]Титульный!$F$9</definedName>
    <definedName name="HTML_CodePage" hidden="1">1251</definedName>
    <definedName name="HTML_Control" hidden="1">{"'Описания'!$A$2:$H$114"}</definedName>
    <definedName name="HTML_Description" hidden="1">""</definedName>
    <definedName name="HTML_Email" hidden="1">""</definedName>
    <definedName name="HTML_Header" hidden="1">"Описания"</definedName>
    <definedName name="HTML_LastUpdate" hidden="1">"13.04.99"</definedName>
    <definedName name="HTML_LineAfter" hidden="1">TRUE</definedName>
    <definedName name="HTML_LineBefore" hidden="1">TRUE</definedName>
    <definedName name="HTML_Name" hidden="1">"Денис"</definedName>
    <definedName name="HTML_OBDlg2" hidden="1">TRUE</definedName>
    <definedName name="HTML_OBDlg4" hidden="1">TRUE</definedName>
    <definedName name="HTML_OS" hidden="1">0</definedName>
    <definedName name="HTML_PathFile" hidden="1">"C:\T\99\UGAr\UGAR.htm"</definedName>
    <definedName name="HTML_PathFileMac" hidden="1">"Macintosh HD:HomePageStuff:New_Home_Page:datafile:histret.html"</definedName>
    <definedName name="HTML_Title" hidden="1">"RezultUGAr"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iiiii" hidden="1">1</definedName>
    <definedName name="inn" localSheetId="0">#REF!</definedName>
    <definedName name="inn">#REF!</definedName>
    <definedName name="jgjhg" localSheetId="0" hidden="1">#REF!</definedName>
    <definedName name="jgjhg" hidden="1">#REF!</definedName>
    <definedName name="jhk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kBNT" hidden="1">{"'РП (2)'!$A$5:$S$150"}</definedName>
    <definedName name="kot_1">'[4]Балансовые показатели'!$E$126</definedName>
    <definedName name="kot_2">'[4]Балансовые показатели'!$E$145</definedName>
    <definedName name="kot_3">'[4]Балансовые показатели'!$E$164</definedName>
    <definedName name="kot_4">'[4]Балансовые показатели'!$E$183</definedName>
    <definedName name="kot_5">'[4]Балансовые показатели'!$E$202</definedName>
    <definedName name="kot_6">'[4]Балансовые показатели'!$E$221</definedName>
    <definedName name="kot_7">'[4]Балансовые показатели'!$E$240</definedName>
    <definedName name="kot_8" localSheetId="0">#REF!</definedName>
    <definedName name="kot_8">#REF!</definedName>
    <definedName name="kpp" localSheetId="0">#REF!</definedName>
    <definedName name="kpp">#REF!</definedName>
    <definedName name="kvp">[4]Оценка!$M$35</definedName>
    <definedName name="LastUpdateDate_MO" localSheetId="0">#REF!</definedName>
    <definedName name="LastUpdateDate_MO">#REF!</definedName>
    <definedName name="LastUpdateDate_ReestrOrg" localSheetId="0">#REF!</definedName>
    <definedName name="LastUpdateDate_ReestrOrg">#REF!</definedName>
    <definedName name="list_year">[11]TEHSHEET!$D$2:$D$12</definedName>
    <definedName name="logic">[11]TEHSHEET!$C$2:$C$3</definedName>
    <definedName name="metodika">#N/A</definedName>
    <definedName name="mo" localSheetId="0">#REF!</definedName>
    <definedName name="mo">#REF!</definedName>
    <definedName name="MO_LIST_2">[11]REESTR_MO!$B$2:$B$10</definedName>
    <definedName name="mr">#N/A</definedName>
    <definedName name="MR_LIST">[11]REESTR_MO!$D$2:$D$23</definedName>
    <definedName name="nyewe" hidden="1">{#N/A,#N/A,FALSE,"Расч. приб. за год";#N/A,#N/A,FALSE,"Раздел продукции";#N/A,#N/A,FALSE,"Раздел продукции без возмещ.";#N/A,#N/A,FALSE,"Затраты"}</definedName>
    <definedName name="oktmo" localSheetId="0">#REF!</definedName>
    <definedName name="oktmo">#REF!</definedName>
    <definedName name="org" localSheetId="0">#REF!</definedName>
    <definedName name="org">#REF!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19_T2_Protect" localSheetId="0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bStartPageNumber">1</definedName>
    <definedName name="pbUpdatePageNumbering">TRUE</definedName>
    <definedName name="PPOK_P1_1">'[7]Производственные показатели'!$P$19</definedName>
    <definedName name="PPOK_P1_10">'[7]Производственные показатели'!$P$29</definedName>
    <definedName name="PPOK_P1_11_1">'[7]Производственные показатели'!$P$31</definedName>
    <definedName name="PPOK_P1_12_1">'[7]Производственные показатели'!$P$33</definedName>
    <definedName name="PPOK_P1_13_1">'[7]Производственные показатели'!$P$35</definedName>
    <definedName name="PPOK_P1_15">'[7]Производственные показатели'!$P$37</definedName>
    <definedName name="PPOK_P1_16_1">'[7]Производственные показатели'!$P$39</definedName>
    <definedName name="PPOK_P1_17_1">'[7]Производственные показатели'!$P$41</definedName>
    <definedName name="PPOK_P1_18">'[7]Производственные показатели'!$P$42</definedName>
    <definedName name="PPOK_P1_2">'[7]Производственные показатели'!$P$20</definedName>
    <definedName name="PPOK_P1_3">'[7]Производственные показатели'!$P$21</definedName>
    <definedName name="PPOK_P1_4">'[7]Производственные показатели'!$P$22</definedName>
    <definedName name="PPOK_P1_5">'[7]Производственные показатели'!$P$23</definedName>
    <definedName name="PPOK_P1_6">'[7]Производственные показатели'!$P$24</definedName>
    <definedName name="PPOK_P1_7">'[7]Производственные показатели'!$P$25</definedName>
    <definedName name="PPOK_P1_8_1">'[7]Производственные показатели'!$P$27</definedName>
    <definedName name="PPOK_P1_9">'[7]Производственные показатели'!$P$28</definedName>
    <definedName name="PPOK_P2">'[7]Производственные показатели'!$P$43</definedName>
    <definedName name="PPOK_P2_1">'[7]Производственные показатели'!$P$44</definedName>
    <definedName name="PPOK_P2_2">'[7]Производственные показатели'!$P$45</definedName>
    <definedName name="PPOK_P3">'[7]Производственные показатели'!$P$46</definedName>
    <definedName name="PPOK_P4">'[7]Производственные показатели'!$P$47</definedName>
    <definedName name="PPOKIT_P1_1">'[7]Произв. показатели (итог)'!$P$19</definedName>
    <definedName name="PPOKIT_P1_10">'[7]Произв. показатели (итог)'!$P$29</definedName>
    <definedName name="PPOKIT_P1_11_1">'[7]Произв. показатели (итог)'!$P$31</definedName>
    <definedName name="PPOKIT_P1_12">'[7]Произв. показатели (итог)'!$P$32</definedName>
    <definedName name="PPOKIT_P1_12_1">'[7]Произв. показатели (итог)'!$P$33</definedName>
    <definedName name="PPOKIT_P1_13">'[7]Произв. показатели (итог)'!$P$34</definedName>
    <definedName name="PPOKIT_P1_13_1">'[7]Произв. показатели (итог)'!$P$35</definedName>
    <definedName name="PPOKIT_P1_15">'[7]Произв. показатели (итог)'!$P$37</definedName>
    <definedName name="PPOKIT_P1_16_1">'[7]Произв. показатели (итог)'!$P$39</definedName>
    <definedName name="PPOKIT_P1_17_1">'[7]Произв. показатели (итог)'!$P$41</definedName>
    <definedName name="PPOKIT_P1_18">'[7]Произв. показатели (итог)'!$P$42</definedName>
    <definedName name="PPOKIT_P1_3">'[7]Произв. показатели (итог)'!$P$21</definedName>
    <definedName name="PPOKIT_P1_4">'[7]Произв. показатели (итог)'!$P$22</definedName>
    <definedName name="PPOKIT_P1_5">'[7]Произв. показатели (итог)'!$P$23</definedName>
    <definedName name="PPOKIT_P1_6">'[7]Произв. показатели (итог)'!$P$24</definedName>
    <definedName name="PPOKIT_P1_7">'[7]Произв. показатели (итог)'!$P$25</definedName>
    <definedName name="PPOKIT_P1_8">'[7]Произв. показатели (итог)'!$P$26</definedName>
    <definedName name="PPOKIT_P1_8_1">'[7]Произв. показатели (итог)'!$P$27</definedName>
    <definedName name="PPOKIT_P1_9">'[7]Произв. показатели (итог)'!$P$28</definedName>
    <definedName name="PPOKIT_P2">'[7]Произв. показатели (итог)'!$P$43</definedName>
    <definedName name="PPOKIT_P2_1">'[7]Произв. показатели (итог)'!$P$44</definedName>
    <definedName name="PPOKIT_P2_2">'[7]Произв. показатели (итог)'!$P$45</definedName>
    <definedName name="PPOKIT_P3">'[7]Произв. показатели (итог)'!$P$46</definedName>
    <definedName name="PPOKIT_P4">'[7]Произв. показатели (итог)'!$P$47</definedName>
    <definedName name="PPOKIT_P5">'[7]Произв. показатели (итог)'!$P$48</definedName>
    <definedName name="PR20_IPR" localSheetId="0">#REF!</definedName>
    <definedName name="PR20_IPR">#REF!</definedName>
    <definedName name="PR20_lab1" localSheetId="0">#REF!</definedName>
    <definedName name="PR20_lab1">#REF!</definedName>
    <definedName name="PR20_lab2" localSheetId="0">#REF!</definedName>
    <definedName name="PR20_lab2">#REF!</definedName>
    <definedName name="PR20_OTP" localSheetId="0">#REF!</definedName>
    <definedName name="PR20_OTP">#REF!</definedName>
    <definedName name="prd">[11]Титульный!$F$8</definedName>
    <definedName name="prdDop">[7]Титульный!$D$22</definedName>
    <definedName name="Prib" hidden="1">{#N/A,#N/A,FALSE,"Основная (2)";#N/A,#N/A,FALSE,"Основная (3)";#N/A,#N/A,FALSE,"Окупаемость (2)"}</definedName>
    <definedName name="proekt_period_list">[6]TEHSHEET!$O$2:$O$5</definedName>
    <definedName name="prov1" localSheetId="0">#REF!</definedName>
    <definedName name="prov1">#REF!</definedName>
    <definedName name="prov2" localSheetId="0">#REF!</definedName>
    <definedName name="prov2">#REF!</definedName>
    <definedName name="prov3" localSheetId="0">#REF!</definedName>
    <definedName name="prov3">#REF!</definedName>
    <definedName name="PRup_IPR">'[4]Протокол (упр.)'!$S$54</definedName>
    <definedName name="PRup_PO1">'[4]Протокол (упр.)'!$O$71</definedName>
    <definedName name="PRup_PO2">'[4]Протокол (упр.)'!$S$71</definedName>
    <definedName name="quarter_col">[7]TEHSHEET!$R$4</definedName>
    <definedName name="quarter_koef">[7]TEHSHEET!$R$2</definedName>
    <definedName name="Query1_NAME" hidden="1">[12]XLR_NoRangeSheet!$L$6</definedName>
    <definedName name="Query2_ARENDATOR" localSheetId="0" hidden="1">#REF!</definedName>
    <definedName name="Query2_ARENDATOR" hidden="1">#REF!</definedName>
    <definedName name="Query2_DATA2" hidden="1">[13]XLR_NoRangeSheet!$E$7</definedName>
    <definedName name="Query2_DIRECTOR" hidden="1">[13]XLR_NoRangeSheet!$F$7</definedName>
    <definedName name="Query2_DNI" hidden="1">[14]XLR_NoRangeSheet!$D$6</definedName>
    <definedName name="Query2_FLAG1" hidden="1">[15]XLR_NoRangeSheet!$J$7</definedName>
    <definedName name="Query2_FULLNAME1" hidden="1">[16]XLR_NoRangeSheet!$C$6</definedName>
    <definedName name="Query2_GLBUH" hidden="1">[13]XLR_NoRangeSheet!$G$7</definedName>
    <definedName name="Query2_INT2" hidden="1">[13]XLR_NoRangeSheet!$I$7</definedName>
    <definedName name="Query2_ITOG" hidden="1">[17]XLR_NoRangeSheet!$B$6</definedName>
    <definedName name="Query2_ORGDIRECTOR" hidden="1">[13]XLR_NoRangeSheet!$D$7</definedName>
    <definedName name="Query2_ORGGLBUH" hidden="1">[13]XLR_NoRangeSheet!$C$7</definedName>
    <definedName name="Query2_ORGNAME" hidden="1">[13]XLR_NoRangeSheet!$B$7</definedName>
    <definedName name="Query2_SHAPKA" hidden="1">[13]XLR_NoRangeSheet!$K$7</definedName>
    <definedName name="Query2_SHAPKA1" hidden="1">[13]XLR_NoRangeSheet!$L$7</definedName>
    <definedName name="Query2_SHAPKA2" hidden="1">[13]XLR_NoRangeSheet!$M$7</definedName>
    <definedName name="Query2_SHAPKA3" hidden="1">[13]XLR_NoRangeSheet!$N$7</definedName>
    <definedName name="Query2_SHAPKA4" hidden="1">[13]XLR_NoRangeSheet!$O$7</definedName>
    <definedName name="Query2_WENAME" hidden="1">[13]XLR_NoRangeSheet!$H$7</definedName>
    <definedName name="Query3_DAT" hidden="1">[16]XLR_NoRangeSheet!$B$7</definedName>
    <definedName name="Query4_DOLG" hidden="1">[17]XLR_NoRangeSheet!$C$8</definedName>
    <definedName name="Query4_FIO" hidden="1">[17]XLR_NoRangeSheet!$D$8</definedName>
    <definedName name="Query5_DEF1" hidden="1">[18]XLR_NoRangeSheet!$B$8</definedName>
    <definedName name="Query5_DEF2" hidden="1">[18]XLR_NoRangeSheet!$C$8</definedName>
    <definedName name="Query5_DOLG" hidden="1">[17]XLR_NoRangeSheet!$C$9</definedName>
    <definedName name="Query5_FIO" hidden="1">[17]XLR_NoRangeSheet!$D$9</definedName>
    <definedName name="Query6_COLUMN1" hidden="1">[17]XLR_NoRangeSheet!$B$10</definedName>
    <definedName name="Query7_DAT" hidden="1">[17]XLR_NoRangeSheet!$B$11</definedName>
    <definedName name="Query8_DAT_NOM" hidden="1">[17]XLR_NoRangeSheet!$B$12</definedName>
    <definedName name="qwewetryrt" localSheetId="0" hidden="1">[1]Data!#REF!</definedName>
    <definedName name="qwewetryrt" hidden="1">[1]Data!#REF!</definedName>
    <definedName name="qwr" hidden="1">{#N/A,#N/A,FALSE,"Aging Summary";#N/A,#N/A,FALSE,"Ratio Analysis";#N/A,#N/A,FALSE,"Test 120 Day Accts";#N/A,#N/A,FALSE,"Tickmarks"}</definedName>
    <definedName name="rashody_soderj_list">[6]TEHSHEET!$Z$2:$Z$4</definedName>
    <definedName name="region_name" localSheetId="0">#REF!</definedName>
    <definedName name="region_name">#REF!</definedName>
    <definedName name="rrr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rtertet" hidden="1">4</definedName>
    <definedName name="RUS_ИтогоКонПериода" hidden="1">[19]XLR_NoRangeSheet!$AC$8</definedName>
    <definedName name="RUS_ИтогоНачПериода" hidden="1">[19]XLR_NoRangeSheet!$AB$8</definedName>
    <definedName name="RUS_СКАмортизация" hidden="1">[19]XLR_NoRangeSheet!$V$8</definedName>
    <definedName name="RUS_СКБУОстатСтоимостьСоц" hidden="1">[19]XLR_NoRangeSheet!$AA$8</definedName>
    <definedName name="RUS_СКДобАктивы" hidden="1">[19]XLR_NoRangeSheet!$W$8</definedName>
    <definedName name="RUS_СКИстощение" hidden="1">[19]XLR_NoRangeSheet!$X$8</definedName>
    <definedName name="RUS_СККапвложения" hidden="1">[19]XLR_NoRangeSheet!$Y$8</definedName>
    <definedName name="RUS_СКОС100" hidden="1">[19]XLR_NoRangeSheet!$AE$8</definedName>
    <definedName name="RUS_СКОС101" hidden="1">[19]XLR_NoRangeSheet!$N$8</definedName>
    <definedName name="RUS_СКОС102" hidden="1">[19]XLR_NoRangeSheet!$O$8</definedName>
    <definedName name="RUS_СКОС103" hidden="1">[19]XLR_NoRangeSheet!$P$8</definedName>
    <definedName name="RUS_СКОС104" hidden="1">[19]XLR_NoRangeSheet!$Q$8</definedName>
    <definedName name="RUS_СКОС105" hidden="1">[19]XLR_NoRangeSheet!$R$8</definedName>
    <definedName name="RUS_СКОС106" hidden="1">[19]XLR_NoRangeSheet!$S$8</definedName>
    <definedName name="RUS_СКОС107" hidden="1">[19]XLR_NoRangeSheet!$T$8</definedName>
    <definedName name="RUS_СКОС114" hidden="1">[19]XLR_NoRangeSheet!$U$8</definedName>
    <definedName name="RUS_СНАмортизация" hidden="1">[19]XLR_NoRangeSheet!$J$8</definedName>
    <definedName name="RUS_СНБУОстатСтоимостьСоц" hidden="1">[19]XLR_NoRangeSheet!$Z$8</definedName>
    <definedName name="RUS_СНДобАктивы" hidden="1">[19]XLR_NoRangeSheet!$K$8</definedName>
    <definedName name="RUS_СНИстощение" hidden="1">[19]XLR_NoRangeSheet!$L$8</definedName>
    <definedName name="RUS_СНКапвложения" hidden="1">[19]XLR_NoRangeSheet!$M$8</definedName>
    <definedName name="RUS_СНОС100" hidden="1">[19]XLR_NoRangeSheet!$AD$8</definedName>
    <definedName name="RUS_СНОС101" hidden="1">[19]XLR_NoRangeSheet!$B$8</definedName>
    <definedName name="RUS_СНОС102" hidden="1">[19]XLR_NoRangeSheet!$C$8</definedName>
    <definedName name="RUS_СНОС103" hidden="1">[19]XLR_NoRangeSheet!$D$8</definedName>
    <definedName name="RUS_СНОС104" hidden="1">[19]XLR_NoRangeSheet!$E$8</definedName>
    <definedName name="RUS_СНОС105" hidden="1">[19]XLR_NoRangeSheet!$F$8</definedName>
    <definedName name="RUS_СНОС106" hidden="1">[19]XLR_NoRangeSheet!$G$8</definedName>
    <definedName name="RUS_СНОС107" hidden="1">[19]XLR_NoRangeSheet!$H$8</definedName>
    <definedName name="RUS_СНОС114" hidden="1">[19]XLR_NoRangeSheet!$I$8</definedName>
    <definedName name="SAPBEXrevision" hidden="1">1</definedName>
    <definedName name="SAPBEXsysID" hidden="1">"BWP"</definedName>
    <definedName name="SAPBEXwbID" hidden="1">"42TDVC7L7U7J3J62Q407POZSS"</definedName>
    <definedName name="SAPFuncF4Help" localSheetId="0" hidden="1">Main.SAPF4Help()</definedName>
    <definedName name="SAPFuncF4Help" hidden="1">Main.SAPF4Help()</definedName>
    <definedName name="SCOPE_16_PRT" localSheetId="0">P1_SCOPE_16_PRT,P2_SCOPE_16_PRT</definedName>
    <definedName name="SCOPE_16_PRT">P1_SCOPE_16_PRT,P2_SCOPE_16_PRT</definedName>
    <definedName name="Scope_17_PRT" localSheetId="0">P1_SCOPE_16_PRT,P2_SCOPE_16_PRT</definedName>
    <definedName name="Scope_17_PRT">P1_SCOPE_16_PRT,P2_SCOPE_16_PRT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>P1_SCOPE_SV_PRT,P2_SCOPE_SV_PRT,P3_SCOPE_SV_PRT</definedName>
    <definedName name="sdf" hidden="1">"AS2DocumentBrowse"</definedName>
    <definedName name="sdsss" localSheetId="0" hidden="1">#REF!</definedName>
    <definedName name="sdsss" hidden="1">#REF!</definedName>
    <definedName name="sdt" hidden="1">{#N/A,#N/A,FALSE,"Расч. приб. за год";#N/A,#N/A,FALSE,"Раздел продукции";#N/A,#N/A,FALSE,"Раздел продукции без возмещ.";#N/A,#N/A,FALSE,"Затраты"}</definedName>
    <definedName name="SKI" localSheetId="0">#REF!</definedName>
    <definedName name="SKI">#REF!</definedName>
    <definedName name="sn" hidden="1">{#N/A,#N/A,FALSE,"Основная (2)";#N/A,#N/A,FALSE,"Основная (3)";#N/A,#N/A,FALSE,"Окупаемость (2)"}</definedName>
    <definedName name="snbe" hidden="1">{#N/A,#N/A,FALSE,"Расч. приб. за год";#N/A,#N/A,FALSE,"Раздел продукции";#N/A,#N/A,FALSE,"Раздел продукции без возмещ.";#N/A,#N/A,FALSE,"Затраты"}</definedName>
    <definedName name="snre" hidden="1">{#N/A,#N/A,FALSE,"Расчет 1";#N/A,#N/A,FALSE,"Расчет 2";#N/A,#N/A,FALSE,"Расчет 2а"}</definedName>
    <definedName name="sost_oborud_list">[6]TEHSHEET!$AC$2:$AC$4</definedName>
    <definedName name="startM" localSheetId="0">[7]Методология!#REF!</definedName>
    <definedName name="startM">[7]Методология!#REF!</definedName>
    <definedName name="startT" localSheetId="0">[7]Титульный!#REF!</definedName>
    <definedName name="startT">[7]Титульный!#REF!</definedName>
    <definedName name="Surpluses_07GAAP" hidden="1">[20]XLR_NoRangeSheet!$L$10</definedName>
    <definedName name="Surpluses_07GAAPNGW" hidden="1">[20]XLR_NoRangeSheet!$M$10</definedName>
    <definedName name="Surpluses_07БУ" hidden="1">[20]XLR_NoRangeSheet!$K$10</definedName>
    <definedName name="Surpluses_08GAAP" hidden="1">[20]XLR_NoRangeSheet!$I$10</definedName>
    <definedName name="Surpluses_08GAAPNGW" hidden="1">[20]XLR_NoRangeSheet!$J$10</definedName>
    <definedName name="Surpluses_08БУ" hidden="1">[20]XLR_NoRangeSheet!$H$10</definedName>
    <definedName name="Surpluses_GAAPNGWПрочиеВыбытиеПроизводственные" hidden="1">[20]XLR_NoRangeSheet!$F$10</definedName>
    <definedName name="Surpluses_GAAPNGWПрочиеВыбытиеСоциальные" hidden="1">[21]XLR_NoRangeSheet!$G$10</definedName>
    <definedName name="Surpluses_GAAPПрочиеВыбытиеПроизводственные" hidden="1">[20]XLR_NoRangeSheet!$D$10</definedName>
    <definedName name="Surpluses_GAAPПрочиеВыбытиеСоциальные" hidden="1">[20]XLR_NoRangeSheet!$E$10</definedName>
    <definedName name="Surpluses_ПрочиеВыбытиеПроизводственные" hidden="1">[20]XLR_NoRangeSheet!$B$10</definedName>
    <definedName name="Surpluses_ПрочиеВыбытиеСоциальные" hidden="1">[20]XLR_NoRangeSheet!$C$10</definedName>
    <definedName name="T2_DiapProt" localSheetId="0">P1_T2_DiapProt,P2_T2_DiapProt</definedName>
    <definedName name="T2_DiapProt">P1_T2_DiapProt,P2_T2_DiapProt</definedName>
    <definedName name="T6_Protect" localSheetId="0">P1_T6_Protect,P2_T6_Protect</definedName>
    <definedName name="T6_Protect">P1_T6_Protect,P2_T6_Protect</definedName>
    <definedName name="Table18_CUSTOMER" hidden="1">[22]G2TempSheet!$K$6</definedName>
    <definedName name="Table6_Alias" hidden="1">[23]G2TempSheet!$B$5</definedName>
    <definedName name="TEMPLATE_SPHERE">[3]TECHSHEET!$G$6</definedName>
    <definedName name="TextRefCopyRangeCount" hidden="1">23</definedName>
    <definedName name="tip_prokladki_detail">[6]TEHSHEET!$W$2:$W$7</definedName>
    <definedName name="tit_DATE" localSheetId="0">#REF!</definedName>
    <definedName name="tit_DATE">#REF!</definedName>
    <definedName name="TitHeader">[7]Титульный!$C$15</definedName>
    <definedName name="Transfer_01GAAPNGWПеремещенияПроизводственные" hidden="1">[20]XLR_NoRangeSheet!$F$11</definedName>
    <definedName name="Transfer_01GAAPNGWПеремещенияСоциальные" hidden="1">[20]XLR_NoRangeSheet!$G$11</definedName>
    <definedName name="Transfer_01GAAPПеремещенияПроизводственные" hidden="1">[20]XLR_NoRangeSheet!$D$11</definedName>
    <definedName name="Transfer_01GAAPПеремещенияСоциальные" hidden="1">[20]XLR_NoRangeSheet!$E$11</definedName>
    <definedName name="Transfer_01БУПеремещенияПроизводственные" hidden="1">[20]XLR_NoRangeSheet!$B$11</definedName>
    <definedName name="Transfer_01БУПеремещенияСоциальные" hidden="1">[20]XLR_NoRangeSheet!$C$11</definedName>
    <definedName name="Transfer_07GAAP" hidden="1">[20]XLR_NoRangeSheet!$K$11</definedName>
    <definedName name="Transfer_07GAAPNGW" hidden="1">[21]XLR_NoRangeSheet!$M$11</definedName>
    <definedName name="Transfer_07БУ" hidden="1">[20]XLR_NoRangeSheet!$I$11</definedName>
    <definedName name="Transfer_08GAAP" hidden="1">[20]XLR_NoRangeSheet!$J$11</definedName>
    <definedName name="Transfer_08GAAPNGW" hidden="1">[20]XLR_NoRangeSheet!$L$11</definedName>
    <definedName name="Transfer_08БУ" hidden="1">[20]XLR_NoRangeSheet!$H$11</definedName>
    <definedName name="trh" hidden="1">{#N/A,#N/A,FALSE,"СКО VIII";#N/A,#N/A,FALSE,"КРС VIII"}</definedName>
    <definedName name="tyejmnety" hidden="1">{#N/A,#N/A,FALSE,"Расч. приб. за год";#N/A,#N/A,FALSE,"Раздел продукции";#N/A,#N/A,FALSE,"Раздел продукции без возмещ.";#N/A,#N/A,FALSE,"Затраты"}</definedName>
    <definedName name="USD_31120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version">[11]Инструкция!$B$3</definedName>
    <definedName name="viddeat1" localSheetId="0">#REF!</definedName>
    <definedName name="viddeat1">#REF!</definedName>
    <definedName name="viddeat2" localSheetId="0">#REF!</definedName>
    <definedName name="viddeat2">#REF!</definedName>
    <definedName name="wejynw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Aging._.and._.Trend._.Analysis." hidden="1">{#N/A,#N/A,FALSE,"Aging Summary";#N/A,#N/A,FALSE,"Ratio Analysis";#N/A,#N/A,FALSE,"Test 120 Day Accts";#N/A,#N/A,FALSE,"Tickmarks"}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list" hidden="1">{#N/A,#N/A,FALSE,"101"}</definedName>
    <definedName name="wrn.list." hidden="1">{#N/A,#N/A,FALSE,"101"}</definedName>
    <definedName name="wrn.Obaly." hidden="1">{#N/A,#N/A,FALSE,"Obaly celkové"}</definedName>
    <definedName name="wrn.Pokus._.1." hidden="1">{#N/A,#N/A,FALSE,"Kalkulace"}</definedName>
    <definedName name="wrn.pokus._.2." hidden="1">{#N/A,#N/A,FALSE,"Kalkulace"}</definedName>
    <definedName name="wrn.print95and96." hidden="1">{"print95",#N/A,FALSE,"1995E.XLS";"print96",#N/A,FALSE,"1996E.XLS"}</definedName>
    <definedName name="wrn.REPORT1." hidden="1">{"PRINTME",#N/A,FALSE,"FINAL-10"}</definedName>
    <definedName name="wrn.Report2" hidden="1">{"PRINTME",#N/A,FALSE,"FINAL-10"}</definedName>
    <definedName name="wrn.RESULTS.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rn.xrates." hidden="1">{#N/A,#N/A,FALSE,"1996";#N/A,#N/A,FALSE,"1995";#N/A,#N/A,FALSE,"1994"}</definedName>
    <definedName name="wrn.z." hidden="1">{#N/A,#N/A,FALSE,"план 1996 (3)";#N/A,#N/A,FALSE,"план 1996 (1)"}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rnym" hidden="1">{#N/A,#N/A,FALSE,"Основная (2)";#N/A,#N/A,FALSE,"Основная (3)";#N/A,#N/A,FALSE,"Окупаемость (2)"}</definedName>
    <definedName name="wwww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x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XLRPARAMS_FinishDate" hidden="1">[5]XLR_NoRangeSheet!$G$6</definedName>
    <definedName name="XLRPARAMS_FirmName" hidden="1">[24]XLR_NoRangeSheet!$I$6</definedName>
    <definedName name="XLRPARAMS_StartDate" hidden="1">[5]XLR_NoRangeSheet!$F$6</definedName>
    <definedName name="XREF_COLUMN_1" localSheetId="0" hidden="1">[25]Cash_testing!#REF!</definedName>
    <definedName name="XREF_COLUMN_1" hidden="1">[25]Cash_testing!#REF!</definedName>
    <definedName name="XREF_COLUMN_2" localSheetId="0" hidden="1">#REF!</definedName>
    <definedName name="XREF_COLUMN_2" hidden="1">#REF!</definedName>
    <definedName name="XREF_COLUMN_3" localSheetId="0" hidden="1">#REF!</definedName>
    <definedName name="XREF_COLUMN_3" hidden="1">#REF!</definedName>
    <definedName name="XREF_COLUMN_4" localSheetId="0" hidden="1">[26]BDWN!#REF!</definedName>
    <definedName name="XREF_COLUMN_4" hidden="1">[26]BDWN!#REF!</definedName>
    <definedName name="XREF_COLUMN_5" localSheetId="0" hidden="1">[27]Rollforward!#REF!</definedName>
    <definedName name="XREF_COLUMN_5" hidden="1">[27]Rollforward!#REF!</definedName>
    <definedName name="XRefActiveRow" localSheetId="0" hidden="1">#REF!</definedName>
    <definedName name="XRefActiveRow" hidden="1">#REF!</definedName>
    <definedName name="XRefColumnsCount" hidden="1">1</definedName>
    <definedName name="XRefCopy1" localSheetId="0" hidden="1">'[28]Breakdown AR'!#REF!</definedName>
    <definedName name="XRefCopy1" hidden="1">'[28]Breakdown AR'!#REF!</definedName>
    <definedName name="XRefCopy1Row" localSheetId="0" hidden="1">#REF!</definedName>
    <definedName name="XRefCopy1Row" hidden="1">#REF!</definedName>
    <definedName name="XRefCopy2" localSheetId="0" hidden="1">#REF!</definedName>
    <definedName name="XRefCopy2" hidden="1">#REF!</definedName>
    <definedName name="XRefCopy2Row" localSheetId="0" hidden="1">#REF!</definedName>
    <definedName name="XRefCopy2Row" hidden="1">#REF!</definedName>
    <definedName name="XRefCopy3" localSheetId="0" hidden="1">[29]breakdown!#REF!</definedName>
    <definedName name="XRefCopy3" hidden="1">[29]breakdown!#REF!</definedName>
    <definedName name="XRefCopy3Row" localSheetId="0" hidden="1">#REF!</definedName>
    <definedName name="XRefCopy3Row" hidden="1">#REF!</definedName>
    <definedName name="XRefCopy4" localSheetId="0" hidden="1">#REF!</definedName>
    <definedName name="XRefCopy4" hidden="1">#REF!</definedName>
    <definedName name="XRefCopy4Row" localSheetId="0" hidden="1">#REF!</definedName>
    <definedName name="XRefCopy4Row" hidden="1">#REF!</definedName>
    <definedName name="XRefCopy5Row" localSheetId="0" hidden="1">#REF!</definedName>
    <definedName name="XRefCopy5Row" hidden="1">#REF!</definedName>
    <definedName name="XRefCopy6Row" localSheetId="0" hidden="1">[26]XREF!#REF!</definedName>
    <definedName name="XRefCopy6Row" hidden="1">[26]XREF!#REF!</definedName>
    <definedName name="XRefCopy7Row" localSheetId="0" hidden="1">[26]XREF!#REF!</definedName>
    <definedName name="XRefCopy7Row" hidden="1">[26]XREF!#REF!</definedName>
    <definedName name="XRefCopy8" localSheetId="0" hidden="1">#REF!</definedName>
    <definedName name="XRefCopy8" hidden="1">#REF!</definedName>
    <definedName name="XRefCopy9" localSheetId="0" hidden="1">#REF!</definedName>
    <definedName name="XRefCopy9" hidden="1">#REF!</definedName>
    <definedName name="XRefCopyRangeCount" hidden="1">1</definedName>
    <definedName name="XRefPaste1" localSheetId="0" hidden="1">#REF!</definedName>
    <definedName name="XRefPaste1" hidden="1">#REF!</definedName>
    <definedName name="XRefPaste1Row" localSheetId="0" hidden="1">#REF!</definedName>
    <definedName name="XRefPaste1Row" hidden="1">#REF!</definedName>
    <definedName name="XRefPaste2" localSheetId="0" hidden="1">#REF!</definedName>
    <definedName name="XRefPaste2" hidden="1">#REF!</definedName>
    <definedName name="XRefPaste2Row" localSheetId="0" hidden="1">#REF!</definedName>
    <definedName name="XRefPaste2Row" hidden="1">#REF!</definedName>
    <definedName name="XRefPaste3Row" localSheetId="0" hidden="1">[26]XREF!#REF!</definedName>
    <definedName name="XRefPaste3Row" hidden="1">[26]XREF!#REF!</definedName>
    <definedName name="XRefPaste4Row" localSheetId="0" hidden="1">[26]XREF!#REF!</definedName>
    <definedName name="XRefPaste4Row" hidden="1">[26]XREF!#REF!</definedName>
    <definedName name="XRefPasteRangeCount" hidden="1">1</definedName>
    <definedName name="Years">[4]TEHSHEET!$E$2:$E$6</definedName>
    <definedName name="ynhe" hidden="1">{#N/A,#N/A,FALSE,"Расч. приб. за год";#N/A,#N/A,FALSE,"Раздел продукции";#N/A,#N/A,FALSE,"Раздел продукции без возмещ.";#N/A,#N/A,FALSE,"Затраты"}</definedName>
    <definedName name="ytr" hidden="1">{"'Северо-Никольское '!$A$6:$J$40"}</definedName>
    <definedName name="Z_09A675D7_23C2_4A02_B4C1_56B02CE79286_.wvu.PrintArea" localSheetId="0" hidden="1">#REF!</definedName>
    <definedName name="Z_09A675D7_23C2_4A02_B4C1_56B02CE79286_.wvu.PrintArea" hidden="1">#REF!</definedName>
    <definedName name="Z_A9FF1EAD_E7B8_4A8D_9232_4283389FA5DC_.wvu.Cols" localSheetId="0" hidden="1">#REF!</definedName>
    <definedName name="Z_A9FF1EAD_E7B8_4A8D_9232_4283389FA5DC_.wvu.Cols" hidden="1">#REF!</definedName>
    <definedName name="Z_A9FF1EAD_E7B8_4A8D_9232_4283389FA5DC_.wvu.PrintArea" localSheetId="0" hidden="1">#REF!</definedName>
    <definedName name="Z_A9FF1EAD_E7B8_4A8D_9232_4283389FA5DC_.wvu.PrintArea" hidden="1">#REF!</definedName>
    <definedName name="Z_A9FF1EAD_E7B8_4A8D_9232_4283389FA5DC_.wvu.PrintTitles" localSheetId="0" hidden="1">#REF!</definedName>
    <definedName name="Z_A9FF1EAD_E7B8_4A8D_9232_4283389FA5DC_.wvu.PrintTitles" hidden="1">#REF!</definedName>
    <definedName name="Z_E3DB78BC_F847_4E0A_8AF3_61B1B9D963F4_.wvu.Cols" localSheetId="0" hidden="1">#REF!</definedName>
    <definedName name="Z_E3DB78BC_F847_4E0A_8AF3_61B1B9D963F4_.wvu.Cols" hidden="1">#REF!</definedName>
    <definedName name="Z_E3DB78BC_F847_4E0A_8AF3_61B1B9D963F4_.wvu.PrintArea" localSheetId="0" hidden="1">#REF!</definedName>
    <definedName name="Z_E3DB78BC_F847_4E0A_8AF3_61B1B9D963F4_.wvu.PrintArea" hidden="1">#REF!</definedName>
    <definedName name="Z_E3DB78BC_F847_4E0A_8AF3_61B1B9D963F4_.wvu.PrintTitles" localSheetId="0" hidden="1">#REF!</definedName>
    <definedName name="Z_E3DB78BC_F847_4E0A_8AF3_61B1B9D963F4_.wvu.PrintTitles" hidden="1">#REF!</definedName>
    <definedName name="zag_inn" localSheetId="0">#REF!</definedName>
    <definedName name="zag_inn">#REF!</definedName>
    <definedName name="zag_kpp" localSheetId="0">#REF!</definedName>
    <definedName name="zag_kpp">#REF!</definedName>
    <definedName name="zag_mo" localSheetId="0">#REF!</definedName>
    <definedName name="zag_mo">#REF!</definedName>
    <definedName name="zag_mr" localSheetId="0">#REF!</definedName>
    <definedName name="zag_mr">#REF!</definedName>
    <definedName name="zag_org" localSheetId="0">#REF!</definedName>
    <definedName name="zag_org">#REF!</definedName>
    <definedName name="авыа" hidden="1">{#N/A,#N/A,FALSE,"101"}</definedName>
    <definedName name="ан" hidden="1">{#N/A,#N/A,FALSE,"1996";#N/A,#N/A,FALSE,"1995";#N/A,#N/A,FALSE,"1994"}</definedName>
    <definedName name="анализ" localSheetId="0">#REF!</definedName>
    <definedName name="анализ">#REF!</definedName>
    <definedName name="апав" hidden="1">{"'Северо-Никольское '!$A$6:$J$40"}</definedName>
    <definedName name="апва" hidden="1">{"'РП (2)'!$A$5:$S$150"}</definedName>
    <definedName name="_xlnm.Database" localSheetId="0">#REF!</definedName>
    <definedName name="_xlnm.Database">#REF!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ваф" hidden="1">{"'РП (2)'!$A$5:$S$150"}</definedName>
    <definedName name="вваыв" localSheetId="0" hidden="1">#REF!</definedName>
    <definedName name="вваыв" hidden="1">#REF!</definedName>
    <definedName name="вввв" hidden="1">{#N/A,#N/A,FALSE,"101"}</definedName>
    <definedName name="вода">[30]Титульный!$L$24:$L$25</definedName>
    <definedName name="ггг" localSheetId="0" hidden="1">#REF!</definedName>
    <definedName name="ггг" hidden="1">#REF!</definedName>
    <definedName name="год" localSheetId="0">#REF!</definedName>
    <definedName name="год">#REF!</definedName>
    <definedName name="Год_отчета">2004</definedName>
    <definedName name="График_работ" hidden="1">{#N/A,#N/A,FALSE,"план 1996 (3)";#N/A,#N/A,FALSE,"план 1996 (1)"}</definedName>
    <definedName name="да">[30]Титульный!$L$2:$L$3</definedName>
    <definedName name="ДанныеДляСводнойТаблицы" localSheetId="0">#REF!</definedName>
    <definedName name="ДанныеДляСводнойТаблицы">#REF!</definedName>
    <definedName name="ДанныеДляСвТабл" localSheetId="0">[31]аренда!#REF!</definedName>
    <definedName name="ДанныеДляСвТабл">[31]аренда!#REF!</definedName>
    <definedName name="длодло" hidden="1">{"print95",#N/A,FALSE,"1995E.XLS";"print96",#N/A,FALSE,"1996E.XLS"}</definedName>
    <definedName name="до" localSheetId="0">#REF!</definedName>
    <definedName name="до">#REF!</definedName>
    <definedName name="ДР" localSheetId="0" hidden="1">#REF!</definedName>
    <definedName name="ДР" hidden="1">#REF!</definedName>
    <definedName name="ёё" hidden="1">[32]XLR_NoRangeSheet!$I$7</definedName>
    <definedName name="ЕСН">0.366</definedName>
    <definedName name="_xlnm.Print_Titles">#REF!</definedName>
    <definedName name="зп" localSheetId="0" hidden="1">#REF!</definedName>
    <definedName name="зп" hidden="1">#REF!</definedName>
    <definedName name="инфляция">1</definedName>
    <definedName name="й" localSheetId="0">P1_SCOPE_16_PRT,P2_SCOPE_16_PRT</definedName>
    <definedName name="й">P1_SCOPE_16_PRT,P2_SCOPE_16_PRT</definedName>
    <definedName name="йц" hidden="1">{"'Северо-Никольское '!$A$6:$J$40"}</definedName>
    <definedName name="качество" localSheetId="0">[30]Титульный!#REF!</definedName>
    <definedName name="качество">[30]Титульный!#REF!</definedName>
    <definedName name="кв1" localSheetId="0">#REF!</definedName>
    <definedName name="кв1">#REF!</definedName>
    <definedName name="Конец">12</definedName>
    <definedName name="КонецТабл" localSheetId="0">#REF!</definedName>
    <definedName name="КонецТабл">#REF!</definedName>
    <definedName name="кот">'[33]Балансовые показатели'!$E$198</definedName>
    <definedName name="котель">'[33]Балансовые показатели'!$E$122</definedName>
    <definedName name="КРАСНОЯРСК" hidden="1">{"'РП (2)'!$A$5:$S$150"}</definedName>
    <definedName name="ктел">'[34]Балансовые показатели'!$E$179</definedName>
    <definedName name="ло" localSheetId="0">#REF!</definedName>
    <definedName name="ло">#REF!</definedName>
    <definedName name="МР">[35]ПАС!$BC$17:$BC$41</definedName>
    <definedName name="мрпоп" localSheetId="0">P1_SCOPE_16_PRT,P2_SCOPE_16_PRT</definedName>
    <definedName name="мрпоп">P1_SCOPE_16_PRT,P2_SCOPE_16_PRT</definedName>
    <definedName name="налог">[35]ПАС!$BB$37:$BB$39</definedName>
    <definedName name="Начало">1</definedName>
    <definedName name="НДС" localSheetId="0">#REF!</definedName>
    <definedName name="НДС">#REF!</definedName>
    <definedName name="нет">[35]ПАС!$AS$3:$AS$4</definedName>
    <definedName name="НОВ" localSheetId="0" hidden="1">#REF!</definedName>
    <definedName name="НОВ" hidden="1">#REF!</definedName>
    <definedName name="о" localSheetId="0" hidden="1">#REF!</definedName>
    <definedName name="о" hidden="1">#REF!</definedName>
    <definedName name="_xlnm.Print_Area" localSheetId="0">'ИП 23-28'!$A$2:$L$157</definedName>
    <definedName name="_xlnm.Print_Area">#REF!</definedName>
    <definedName name="ол" localSheetId="0" hidden="1">#REF!</definedName>
    <definedName name="ол" hidden="1">#REF!</definedName>
    <definedName name="ооооо" hidden="1">2</definedName>
    <definedName name="отменить" hidden="1">{"'Описания'!$A$2:$H$114"}</definedName>
    <definedName name="пепр" hidden="1">{"'РП (2)'!$A$5:$S$150"}</definedName>
    <definedName name="пит.тех">[35]ПАС!$BB$1:$BB$2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ток" hidden="1">{#N/A,#N/A,FALSE,"Расчет 1";#N/A,#N/A,FALSE,"Расчет 2";#N/A,#N/A,FALSE,"Расчет 2а"}</definedName>
    <definedName name="привет" hidden="1">{"'Описания'!$A$2:$H$114"}</definedName>
    <definedName name="Прогноз" hidden="1">{"'Северо-Никольское '!$A$6:$J$40"}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пол" hidden="1">{"'Северо-Никольское '!$A$6:$J$40"}</definedName>
    <definedName name="р" localSheetId="0">P5_SCOPE_PER_PRT,P6_SCOPE_PER_PRT,P7_SCOPE_PER_PRT,P8_SCOPE_PER_PRT</definedName>
    <definedName name="р">P5_SCOPE_PER_PRT,P6_SCOPE_PER_PRT,P7_SCOPE_PER_PRT,P8_SCOPE_PER_PRT</definedName>
    <definedName name="расчет" localSheetId="0" hidden="1">#REF!</definedName>
    <definedName name="расчет" hidden="1">#REF!</definedName>
    <definedName name="реализация">[35]ПАС!$BB$8:$BB$12</definedName>
    <definedName name="ррр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в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вод1" hidden="1">{"'Описания'!$A$2:$H$114"}</definedName>
    <definedName name="Свод2" hidden="1">{"'Описания'!$A$2:$H$114"}</definedName>
    <definedName name="свод9" hidden="1">{"'Описания'!$A$2:$H$114"}</definedName>
    <definedName name="т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тариф" localSheetId="0">#REF!</definedName>
    <definedName name="тариф">#REF!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п">[35]ИВ!$I$5:$I$8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укр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ТТновый" hidden="1">{#N/A,#N/A,FALSE,"Расч. приб. за год";#N/A,#N/A,FALSE,"Раздел продукции";#N/A,#N/A,FALSE,"Раздел продукции без возмещ.";#N/A,#N/A,FALSE,"Затраты"}</definedName>
    <definedName name="уууу" hidden="1">{"'Северо-Никольское '!$A$6:$J$40"}</definedName>
    <definedName name="уцк" hidden="1">{"'РП (2)'!$A$5:$S$150"}</definedName>
    <definedName name="Ф152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Ф5.4С" hidden="1">{"print95",#N/A,FALSE,"1995E.XLS";"print96",#N/A,FALSE,"1996E.XLS"}</definedName>
    <definedName name="ФНП" hidden="1">{"'Северо-Никольское '!$A$6:$J$40"}</definedName>
    <definedName name="ФОТ" localSheetId="0" hidden="1">#REF!</definedName>
    <definedName name="ФОТ" hidden="1">#REF!</definedName>
    <definedName name="фц" hidden="1">{"'РП (2)'!$A$5:$S$150"}</definedName>
    <definedName name="фывап" hidden="1">{#N/A,#N/A,FALSE,"Расч. приб. за год";#N/A,#N/A,FALSE,"Раздел продукции";#N/A,#N/A,FALSE,"Раздел продукции без возмещ.";#N/A,#N/A,FALSE,"Затраты"}</definedName>
    <definedName name="ХМАО" localSheetId="0" hidden="1">#REF!</definedName>
    <definedName name="ХМАО" hidden="1">#REF!</definedName>
    <definedName name="ц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цк" hidden="1">{"'РП (2)'!$A$5:$S$150"}</definedName>
    <definedName name="ццу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ыаывпп" hidden="1">{#N/A,#N/A,FALSE,"СКО VIII";#N/A,#N/A,FALSE,"КРС VIII"}</definedName>
    <definedName name="ываыва" hidden="1">{#N/A,#N/A,FALSE,"Основная (2)";#N/A,#N/A,FALSE,"Основная (3)";#N/A,#N/A,FALSE,"Окупаемость (2)"}</definedName>
    <definedName name="ЫВВЫВЫВ" localSheetId="0" hidden="1">#REF!</definedName>
    <definedName name="ЫВВЫВЫВ" hidden="1">#REF!</definedName>
    <definedName name="ыпм" hidden="1">{"'РП (2)'!$A$5:$S$150"}</definedName>
    <definedName name="ыфва" hidden="1">{#N/A,#N/A,FALSE,"101"}</definedName>
    <definedName name="ь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Э" localSheetId="0">#REF!</definedName>
    <definedName name="Э">#REF!</definedName>
    <definedName name="эл.энергия" hidden="1">{"'Северо-Никольское '!$A$6:$J$40"}</definedName>
    <definedName name="ю" localSheetId="0">#REF!</definedName>
    <definedName name="ю">#REF!</definedName>
    <definedName name="ЮБ" localSheetId="0" hidden="1">#REF!</definedName>
    <definedName name="ЮБ" hidden="1">#REF!</definedName>
    <definedName name="я" localSheetId="0">#REF!</definedName>
    <definedName name="я">#REF!</definedName>
    <definedName name="ячсмячс" hidden="1">{#N/A,#N/A,FALSE,"план 1996 (3)";#N/A,#N/A,FALSE,"план 1996 (1)"}</definedName>
    <definedName name="ячсмячсм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</definedNames>
  <calcPr calcId="152511"/>
</workbook>
</file>

<file path=xl/calcChain.xml><?xml version="1.0" encoding="utf-8"?>
<calcChain xmlns="http://schemas.openxmlformats.org/spreadsheetml/2006/main">
  <c r="E10" i="19" l="1"/>
  <c r="E8" i="19"/>
  <c r="E7" i="19"/>
  <c r="D4" i="17" l="1"/>
  <c r="K127" i="14" l="1"/>
  <c r="F150" i="14" l="1"/>
  <c r="M132" i="14" l="1"/>
  <c r="M133" i="14" s="1"/>
  <c r="I127" i="14" l="1"/>
  <c r="H127" i="14"/>
  <c r="T3" i="16" l="1"/>
  <c r="H11" i="16"/>
  <c r="G11" i="16"/>
  <c r="F11" i="16"/>
  <c r="J11" i="16"/>
  <c r="K11" i="16"/>
  <c r="L11" i="16"/>
  <c r="M11" i="16"/>
  <c r="N11" i="16"/>
  <c r="O11" i="16"/>
  <c r="P11" i="16"/>
  <c r="Q11" i="16"/>
  <c r="B47" i="17" l="1"/>
  <c r="H150" i="14" l="1"/>
  <c r="H33" i="17" l="1"/>
  <c r="E33" i="17"/>
  <c r="G155" i="14" l="1"/>
  <c r="G150" i="14" s="1"/>
  <c r="G157" i="14" l="1"/>
  <c r="L18" i="14"/>
  <c r="K18" i="14"/>
  <c r="K16" i="14"/>
  <c r="M131" i="14"/>
  <c r="M127" i="14"/>
  <c r="I66" i="14" l="1"/>
  <c r="J66" i="14" s="1"/>
  <c r="K66" i="14" s="1"/>
  <c r="L66" i="14" s="1"/>
  <c r="H66" i="14"/>
  <c r="L63" i="14"/>
  <c r="L62" i="14"/>
  <c r="J26" i="14"/>
  <c r="K26" i="14" s="1"/>
  <c r="L26" i="14" s="1"/>
  <c r="K104" i="14" l="1"/>
  <c r="L104" i="14"/>
  <c r="K111" i="14"/>
  <c r="L111" i="14"/>
  <c r="L103" i="14"/>
  <c r="L110" i="14"/>
  <c r="K155" i="14"/>
  <c r="D3" i="16"/>
  <c r="E3" i="16" s="1"/>
  <c r="F3" i="16" s="1"/>
  <c r="G3" i="16" s="1"/>
  <c r="H3" i="16" s="1"/>
  <c r="I3" i="16" s="1"/>
  <c r="J3" i="16" s="1"/>
  <c r="K3" i="16" s="1"/>
  <c r="L3" i="16" s="1"/>
  <c r="M3" i="16" s="1"/>
  <c r="N3" i="16" s="1"/>
  <c r="O3" i="16" s="1"/>
  <c r="P3" i="16" s="1"/>
  <c r="Q3" i="16" s="1"/>
  <c r="R3" i="16" s="1"/>
  <c r="S3" i="16" s="1"/>
  <c r="H2" i="16"/>
  <c r="I2" i="16" s="1"/>
  <c r="J2" i="16" s="1"/>
  <c r="K2" i="16" s="1"/>
  <c r="L2" i="16" s="1"/>
  <c r="M2" i="16" s="1"/>
  <c r="N2" i="16" s="1"/>
  <c r="O2" i="16" s="1"/>
  <c r="P2" i="16" s="1"/>
  <c r="Q2" i="16" s="1"/>
  <c r="R2" i="16" s="1"/>
  <c r="E153" i="14"/>
  <c r="E151" i="14"/>
  <c r="H155" i="14"/>
  <c r="H157" i="14" s="1"/>
  <c r="I155" i="14"/>
  <c r="J155" i="14"/>
  <c r="I150" i="14"/>
  <c r="J150" i="14"/>
  <c r="L35" i="14"/>
  <c r="L40" i="14"/>
  <c r="L45" i="14"/>
  <c r="L50" i="14"/>
  <c r="V2" i="19"/>
  <c r="D124" i="18"/>
  <c r="L16" i="14"/>
  <c r="L13" i="14" s="1"/>
  <c r="G122" i="14"/>
  <c r="F122" i="14"/>
  <c r="D8" i="19"/>
  <c r="D7" i="19"/>
  <c r="E6" i="19"/>
  <c r="C4" i="19"/>
  <c r="H2" i="19"/>
  <c r="D117" i="18"/>
  <c r="D110" i="18"/>
  <c r="D103" i="18"/>
  <c r="D96" i="18"/>
  <c r="D89" i="18"/>
  <c r="D82" i="18"/>
  <c r="D75" i="18"/>
  <c r="B74" i="18"/>
  <c r="B81" i="18" s="1"/>
  <c r="B88" i="18" s="1"/>
  <c r="D68" i="18"/>
  <c r="D64" i="18"/>
  <c r="D71" i="18" s="1"/>
  <c r="F62" i="18"/>
  <c r="D61" i="18"/>
  <c r="D57" i="18"/>
  <c r="P55" i="18"/>
  <c r="O55" i="18"/>
  <c r="N55" i="18"/>
  <c r="M55" i="18"/>
  <c r="L55" i="18"/>
  <c r="K55" i="18"/>
  <c r="J55" i="18"/>
  <c r="I55" i="18"/>
  <c r="H55" i="18"/>
  <c r="G55" i="18"/>
  <c r="F55" i="18"/>
  <c r="E55" i="18"/>
  <c r="P48" i="18"/>
  <c r="O48" i="18"/>
  <c r="N48" i="18"/>
  <c r="M48" i="18"/>
  <c r="L48" i="18"/>
  <c r="K48" i="18"/>
  <c r="J48" i="18"/>
  <c r="I48" i="18"/>
  <c r="H48" i="18"/>
  <c r="G48" i="18"/>
  <c r="F48" i="18"/>
  <c r="E48" i="18"/>
  <c r="D47" i="18"/>
  <c r="P41" i="18"/>
  <c r="O41" i="18"/>
  <c r="N41" i="18"/>
  <c r="M41" i="18"/>
  <c r="L41" i="18"/>
  <c r="K41" i="18"/>
  <c r="J41" i="18"/>
  <c r="I41" i="18"/>
  <c r="H41" i="18"/>
  <c r="G41" i="18"/>
  <c r="F41" i="18"/>
  <c r="E41" i="18"/>
  <c r="D40" i="18"/>
  <c r="P34" i="18"/>
  <c r="O34" i="18"/>
  <c r="N34" i="18"/>
  <c r="M34" i="18"/>
  <c r="L34" i="18"/>
  <c r="K34" i="18"/>
  <c r="J34" i="18"/>
  <c r="I34" i="18"/>
  <c r="H34" i="18"/>
  <c r="G34" i="18"/>
  <c r="F34" i="18"/>
  <c r="E34" i="18"/>
  <c r="D33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6" i="18"/>
  <c r="P20" i="18"/>
  <c r="O20" i="18"/>
  <c r="D19" i="18"/>
  <c r="D18" i="18"/>
  <c r="D25" i="18" s="1"/>
  <c r="D32" i="18" s="1"/>
  <c r="D39" i="18" s="1"/>
  <c r="D46" i="18" s="1"/>
  <c r="D53" i="18" s="1"/>
  <c r="D15" i="18"/>
  <c r="E14" i="18"/>
  <c r="F14" i="18" s="1"/>
  <c r="D13" i="18"/>
  <c r="M20" i="18"/>
  <c r="D117" i="17"/>
  <c r="D110" i="17"/>
  <c r="D103" i="17"/>
  <c r="D96" i="17"/>
  <c r="D89" i="17"/>
  <c r="D82" i="17"/>
  <c r="B88" i="17"/>
  <c r="B95" i="17" s="1"/>
  <c r="B102" i="17" s="1"/>
  <c r="B109" i="17" s="1"/>
  <c r="B116" i="17" s="1"/>
  <c r="F76" i="17"/>
  <c r="G76" i="17" s="1"/>
  <c r="D75" i="17"/>
  <c r="D68" i="17"/>
  <c r="D64" i="17"/>
  <c r="D71" i="17" s="1"/>
  <c r="D78" i="17" s="1"/>
  <c r="D61" i="17"/>
  <c r="D57" i="17"/>
  <c r="P55" i="17"/>
  <c r="O55" i="17"/>
  <c r="N55" i="17"/>
  <c r="M55" i="17"/>
  <c r="L55" i="17"/>
  <c r="K55" i="17"/>
  <c r="J55" i="17"/>
  <c r="I55" i="17"/>
  <c r="H55" i="17"/>
  <c r="G55" i="17"/>
  <c r="F55" i="17"/>
  <c r="E55" i="17"/>
  <c r="D54" i="17"/>
  <c r="P48" i="17"/>
  <c r="O48" i="17"/>
  <c r="N48" i="17"/>
  <c r="M48" i="17"/>
  <c r="L48" i="17"/>
  <c r="K48" i="17"/>
  <c r="J48" i="17"/>
  <c r="I48" i="17"/>
  <c r="H48" i="17"/>
  <c r="G48" i="17"/>
  <c r="F48" i="17"/>
  <c r="E48" i="17"/>
  <c r="P41" i="17"/>
  <c r="O41" i="17"/>
  <c r="N41" i="17"/>
  <c r="M41" i="17"/>
  <c r="L41" i="17"/>
  <c r="K41" i="17"/>
  <c r="J41" i="17"/>
  <c r="I41" i="17"/>
  <c r="H41" i="17"/>
  <c r="G41" i="17"/>
  <c r="F41" i="17"/>
  <c r="E41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3" i="17"/>
  <c r="E6" i="16" s="1"/>
  <c r="P27" i="17"/>
  <c r="O27" i="17"/>
  <c r="N27" i="17"/>
  <c r="M27" i="17"/>
  <c r="L27" i="17"/>
  <c r="K27" i="17"/>
  <c r="J27" i="17"/>
  <c r="I27" i="17"/>
  <c r="H27" i="17"/>
  <c r="G27" i="17"/>
  <c r="F27" i="17"/>
  <c r="E27" i="17"/>
  <c r="D26" i="17"/>
  <c r="P20" i="17"/>
  <c r="O20" i="17"/>
  <c r="K20" i="17"/>
  <c r="D19" i="17"/>
  <c r="D18" i="17"/>
  <c r="D25" i="17" s="1"/>
  <c r="D32" i="17" s="1"/>
  <c r="D15" i="17"/>
  <c r="E14" i="17"/>
  <c r="D13" i="17"/>
  <c r="J20" i="17"/>
  <c r="D12" i="17"/>
  <c r="E16" i="18" l="1"/>
  <c r="D78" i="18"/>
  <c r="D55" i="18"/>
  <c r="D27" i="18"/>
  <c r="D48" i="17"/>
  <c r="E16" i="17"/>
  <c r="E17" i="17" s="1"/>
  <c r="F14" i="17"/>
  <c r="G14" i="17" s="1"/>
  <c r="G16" i="17" s="1"/>
  <c r="G17" i="17" s="1"/>
  <c r="K150" i="14"/>
  <c r="C8" i="19"/>
  <c r="I2" i="19"/>
  <c r="A54" i="18"/>
  <c r="D60" i="18"/>
  <c r="D4" i="18"/>
  <c r="G14" i="18"/>
  <c r="F16" i="18"/>
  <c r="F17" i="18" s="1"/>
  <c r="E17" i="18"/>
  <c r="K20" i="18"/>
  <c r="D41" i="18"/>
  <c r="D48" i="18"/>
  <c r="B95" i="18"/>
  <c r="B102" i="18" s="1"/>
  <c r="B109" i="18" s="1"/>
  <c r="B116" i="18" s="1"/>
  <c r="B123" i="18" s="1"/>
  <c r="H20" i="18"/>
  <c r="L20" i="18"/>
  <c r="G62" i="18"/>
  <c r="F20" i="18"/>
  <c r="J20" i="18"/>
  <c r="D12" i="18"/>
  <c r="I20" i="18"/>
  <c r="D34" i="18"/>
  <c r="D27" i="17"/>
  <c r="D41" i="17"/>
  <c r="D39" i="17"/>
  <c r="A33" i="17"/>
  <c r="D34" i="17"/>
  <c r="H20" i="17"/>
  <c r="L20" i="17"/>
  <c r="I20" i="17"/>
  <c r="M20" i="17"/>
  <c r="F20" i="17"/>
  <c r="D55" i="17"/>
  <c r="H76" i="17"/>
  <c r="F16" i="17" l="1"/>
  <c r="F17" i="17" s="1"/>
  <c r="A34" i="17"/>
  <c r="H14" i="17"/>
  <c r="I14" i="17" s="1"/>
  <c r="A55" i="18"/>
  <c r="A56" i="18" s="1"/>
  <c r="A57" i="18" s="1"/>
  <c r="A58" i="18" s="1"/>
  <c r="A59" i="18" s="1"/>
  <c r="J2" i="19"/>
  <c r="H62" i="18"/>
  <c r="D67" i="18"/>
  <c r="A61" i="18"/>
  <c r="A62" i="18" s="1"/>
  <c r="A63" i="18" s="1"/>
  <c r="A64" i="18" s="1"/>
  <c r="A65" i="18" s="1"/>
  <c r="A66" i="18" s="1"/>
  <c r="D20" i="18"/>
  <c r="G16" i="18"/>
  <c r="G17" i="18" s="1"/>
  <c r="H14" i="18"/>
  <c r="D20" i="17"/>
  <c r="D46" i="17"/>
  <c r="A40" i="17"/>
  <c r="A41" i="17" s="1"/>
  <c r="A42" i="17" s="1"/>
  <c r="A43" i="17" s="1"/>
  <c r="A44" i="17" s="1"/>
  <c r="A45" i="17" s="1"/>
  <c r="I76" i="17"/>
  <c r="H16" i="17" l="1"/>
  <c r="A35" i="17"/>
  <c r="K2" i="19"/>
  <c r="I62" i="18"/>
  <c r="D74" i="18"/>
  <c r="A68" i="18"/>
  <c r="H16" i="18"/>
  <c r="I14" i="18"/>
  <c r="J76" i="17"/>
  <c r="D53" i="17"/>
  <c r="A47" i="17"/>
  <c r="A48" i="17" s="1"/>
  <c r="A49" i="17" s="1"/>
  <c r="A50" i="17" s="1"/>
  <c r="A51" i="17" s="1"/>
  <c r="A52" i="17" s="1"/>
  <c r="I16" i="17"/>
  <c r="I17" i="17" s="1"/>
  <c r="J14" i="17"/>
  <c r="H17" i="17"/>
  <c r="A36" i="17" l="1"/>
  <c r="A69" i="18"/>
  <c r="L2" i="19"/>
  <c r="H17" i="18"/>
  <c r="J62" i="18"/>
  <c r="A75" i="18"/>
  <c r="A76" i="18" s="1"/>
  <c r="A77" i="18" s="1"/>
  <c r="A78" i="18" s="1"/>
  <c r="A79" i="18" s="1"/>
  <c r="A80" i="18" s="1"/>
  <c r="D81" i="18"/>
  <c r="J14" i="18"/>
  <c r="I16" i="18"/>
  <c r="I17" i="18" s="1"/>
  <c r="K14" i="17"/>
  <c r="J16" i="17"/>
  <c r="A54" i="17"/>
  <c r="A55" i="17" s="1"/>
  <c r="A56" i="17" s="1"/>
  <c r="A57" i="17" s="1"/>
  <c r="A58" i="17" s="1"/>
  <c r="A59" i="17" s="1"/>
  <c r="D60" i="17"/>
  <c r="K76" i="17"/>
  <c r="A37" i="17" l="1"/>
  <c r="A70" i="18"/>
  <c r="M2" i="19"/>
  <c r="K62" i="18"/>
  <c r="K14" i="18"/>
  <c r="J16" i="18"/>
  <c r="J17" i="18" s="1"/>
  <c r="D88" i="18"/>
  <c r="A82" i="18"/>
  <c r="A83" i="18" s="1"/>
  <c r="A84" i="18" s="1"/>
  <c r="A85" i="18" s="1"/>
  <c r="A86" i="18" s="1"/>
  <c r="A87" i="18" s="1"/>
  <c r="J17" i="17"/>
  <c r="A61" i="17"/>
  <c r="A62" i="17" s="1"/>
  <c r="A63" i="17" s="1"/>
  <c r="A64" i="17" s="1"/>
  <c r="A65" i="17" s="1"/>
  <c r="A66" i="17" s="1"/>
  <c r="D67" i="17"/>
  <c r="L76" i="17"/>
  <c r="K16" i="17"/>
  <c r="K17" i="17" s="1"/>
  <c r="L14" i="17"/>
  <c r="A38" i="17" l="1"/>
  <c r="A71" i="18"/>
  <c r="N2" i="19"/>
  <c r="L62" i="18"/>
  <c r="K16" i="18"/>
  <c r="K17" i="18" s="1"/>
  <c r="L14" i="18"/>
  <c r="A89" i="18"/>
  <c r="A90" i="18" s="1"/>
  <c r="A91" i="18" s="1"/>
  <c r="A92" i="18" s="1"/>
  <c r="A93" i="18" s="1"/>
  <c r="A94" i="18" s="1"/>
  <c r="D95" i="18"/>
  <c r="A68" i="17"/>
  <c r="A69" i="17" s="1"/>
  <c r="A70" i="17" s="1"/>
  <c r="A71" i="17" s="1"/>
  <c r="A72" i="17" s="1"/>
  <c r="A73" i="17" s="1"/>
  <c r="D74" i="17"/>
  <c r="D81" i="17" s="1"/>
  <c r="D88" i="17" s="1"/>
  <c r="D95" i="17" s="1"/>
  <c r="D102" i="17" s="1"/>
  <c r="D109" i="17" s="1"/>
  <c r="D116" i="17" s="1"/>
  <c r="L16" i="17"/>
  <c r="L17" i="17" s="1"/>
  <c r="M14" i="17"/>
  <c r="M76" i="17"/>
  <c r="P7" i="19" l="1"/>
  <c r="F3" i="19"/>
  <c r="I3" i="19"/>
  <c r="Q3" i="19"/>
  <c r="K3" i="19"/>
  <c r="L3" i="19"/>
  <c r="G3" i="19"/>
  <c r="H3" i="19"/>
  <c r="J3" i="19"/>
  <c r="R7" i="19"/>
  <c r="U3" i="19"/>
  <c r="S3" i="19"/>
  <c r="G7" i="19"/>
  <c r="T3" i="19"/>
  <c r="H7" i="19"/>
  <c r="S7" i="19"/>
  <c r="V3" i="19"/>
  <c r="P3" i="19"/>
  <c r="O7" i="19"/>
  <c r="U7" i="19"/>
  <c r="R3" i="19"/>
  <c r="T7" i="19"/>
  <c r="O3" i="19"/>
  <c r="Q7" i="19"/>
  <c r="V7" i="19"/>
  <c r="A72" i="18"/>
  <c r="O2" i="19"/>
  <c r="L16" i="18"/>
  <c r="L17" i="18" s="1"/>
  <c r="M14" i="18"/>
  <c r="M62" i="18"/>
  <c r="A96" i="18"/>
  <c r="A97" i="18" s="1"/>
  <c r="A98" i="18" s="1"/>
  <c r="A99" i="18" s="1"/>
  <c r="A100" i="18" s="1"/>
  <c r="A101" i="18" s="1"/>
  <c r="D102" i="18"/>
  <c r="M16" i="17"/>
  <c r="M17" i="17" s="1"/>
  <c r="N14" i="17"/>
  <c r="N76" i="17"/>
  <c r="A73" i="18" l="1"/>
  <c r="P2" i="19"/>
  <c r="N62" i="18"/>
  <c r="A103" i="18"/>
  <c r="A104" i="18" s="1"/>
  <c r="A105" i="18" s="1"/>
  <c r="A106" i="18" s="1"/>
  <c r="A107" i="18" s="1"/>
  <c r="A108" i="18" s="1"/>
  <c r="D109" i="18"/>
  <c r="N14" i="18"/>
  <c r="M16" i="18"/>
  <c r="M17" i="18" s="1"/>
  <c r="O14" i="17"/>
  <c r="N16" i="17"/>
  <c r="N17" i="17" s="1"/>
  <c r="O76" i="17"/>
  <c r="Q2" i="19" l="1"/>
  <c r="O62" i="18"/>
  <c r="A110" i="18"/>
  <c r="A111" i="18" s="1"/>
  <c r="A112" i="18" s="1"/>
  <c r="A113" i="18" s="1"/>
  <c r="A114" i="18" s="1"/>
  <c r="A115" i="18" s="1"/>
  <c r="D116" i="18"/>
  <c r="O14" i="18"/>
  <c r="N16" i="18"/>
  <c r="N17" i="18" s="1"/>
  <c r="O16" i="17"/>
  <c r="O17" i="17" s="1"/>
  <c r="P14" i="17"/>
  <c r="P76" i="17"/>
  <c r="A117" i="18" l="1"/>
  <c r="A118" i="18" s="1"/>
  <c r="A119" i="18" s="1"/>
  <c r="A120" i="18" s="1"/>
  <c r="A121" i="18" s="1"/>
  <c r="A122" i="18" s="1"/>
  <c r="D123" i="18"/>
  <c r="R2" i="19"/>
  <c r="O16" i="18"/>
  <c r="O17" i="18" s="1"/>
  <c r="P14" i="18"/>
  <c r="P62" i="18"/>
  <c r="E83" i="17"/>
  <c r="D76" i="17"/>
  <c r="P16" i="17"/>
  <c r="E21" i="17"/>
  <c r="A124" i="18" l="1"/>
  <c r="S2" i="19"/>
  <c r="P16" i="18"/>
  <c r="E21" i="18"/>
  <c r="E69" i="18"/>
  <c r="D62" i="18"/>
  <c r="P17" i="17"/>
  <c r="D17" i="17" s="1"/>
  <c r="D16" i="17"/>
  <c r="E23" i="17"/>
  <c r="F21" i="17"/>
  <c r="F83" i="17"/>
  <c r="M4" i="19" l="1"/>
  <c r="A125" i="18"/>
  <c r="A126" i="18" s="1"/>
  <c r="A127" i="18" s="1"/>
  <c r="A128" i="18" s="1"/>
  <c r="A129" i="18" s="1"/>
  <c r="I8" i="19"/>
  <c r="J8" i="19"/>
  <c r="H8" i="19"/>
  <c r="H9" i="19" s="1"/>
  <c r="D9" i="16" s="1"/>
  <c r="L4" i="19"/>
  <c r="L5" i="19" s="1"/>
  <c r="H7" i="16" s="1"/>
  <c r="H4" i="19"/>
  <c r="K4" i="19"/>
  <c r="K5" i="19" s="1"/>
  <c r="G7" i="16" s="1"/>
  <c r="G8" i="19"/>
  <c r="G9" i="19" s="1"/>
  <c r="C9" i="16" s="1"/>
  <c r="K8" i="19"/>
  <c r="J4" i="19"/>
  <c r="J5" i="19" s="1"/>
  <c r="F7" i="16" s="1"/>
  <c r="I4" i="19"/>
  <c r="I5" i="19" s="1"/>
  <c r="E7" i="16" s="1"/>
  <c r="E8" i="16" s="1"/>
  <c r="G4" i="19"/>
  <c r="T2" i="19"/>
  <c r="P17" i="18"/>
  <c r="D17" i="18" s="1"/>
  <c r="D16" i="18"/>
  <c r="E23" i="18"/>
  <c r="F21" i="18"/>
  <c r="F69" i="18"/>
  <c r="G83" i="17"/>
  <c r="F23" i="17"/>
  <c r="F24" i="17" s="1"/>
  <c r="G21" i="17"/>
  <c r="E24" i="17"/>
  <c r="H5" i="19" l="1"/>
  <c r="D7" i="16" s="1"/>
  <c r="H10" i="19"/>
  <c r="G5" i="19"/>
  <c r="C7" i="16" s="1"/>
  <c r="G10" i="19"/>
  <c r="U2" i="19"/>
  <c r="G21" i="18"/>
  <c r="F23" i="18"/>
  <c r="F24" i="18" s="1"/>
  <c r="G69" i="18"/>
  <c r="E24" i="18"/>
  <c r="H21" i="17"/>
  <c r="G23" i="17"/>
  <c r="H83" i="17"/>
  <c r="H69" i="18" l="1"/>
  <c r="G23" i="18"/>
  <c r="H21" i="18"/>
  <c r="I83" i="17"/>
  <c r="G24" i="17"/>
  <c r="H23" i="17"/>
  <c r="H24" i="17" s="1"/>
  <c r="I21" i="17"/>
  <c r="G24" i="18" l="1"/>
  <c r="H23" i="18"/>
  <c r="H24" i="18" s="1"/>
  <c r="I21" i="18"/>
  <c r="I69" i="18"/>
  <c r="I23" i="17"/>
  <c r="J21" i="17"/>
  <c r="J83" i="17"/>
  <c r="I23" i="18" l="1"/>
  <c r="I24" i="18" s="1"/>
  <c r="J21" i="18"/>
  <c r="J69" i="18"/>
  <c r="J23" i="17"/>
  <c r="J24" i="17" s="1"/>
  <c r="K21" i="17"/>
  <c r="K83" i="17"/>
  <c r="I24" i="17"/>
  <c r="J23" i="18" l="1"/>
  <c r="J24" i="18" s="1"/>
  <c r="K21" i="18"/>
  <c r="K69" i="18"/>
  <c r="L83" i="17"/>
  <c r="K23" i="17"/>
  <c r="L21" i="17"/>
  <c r="L69" i="18" l="1"/>
  <c r="K23" i="18"/>
  <c r="L21" i="18"/>
  <c r="M83" i="17"/>
  <c r="L23" i="17"/>
  <c r="L24" i="17" s="1"/>
  <c r="M21" i="17"/>
  <c r="K24" i="17"/>
  <c r="M69" i="18" l="1"/>
  <c r="L23" i="18"/>
  <c r="L24" i="18" s="1"/>
  <c r="M21" i="18"/>
  <c r="K24" i="18"/>
  <c r="N83" i="17"/>
  <c r="M23" i="17"/>
  <c r="M24" i="17" s="1"/>
  <c r="N21" i="17"/>
  <c r="N69" i="18" l="1"/>
  <c r="M23" i="18"/>
  <c r="M24" i="18" s="1"/>
  <c r="N21" i="18"/>
  <c r="N23" i="17"/>
  <c r="N24" i="17" s="1"/>
  <c r="O21" i="17"/>
  <c r="O83" i="17"/>
  <c r="N23" i="18" l="1"/>
  <c r="N24" i="18" s="1"/>
  <c r="O21" i="18"/>
  <c r="O69" i="18"/>
  <c r="P83" i="17"/>
  <c r="O23" i="17"/>
  <c r="O24" i="17" s="1"/>
  <c r="P21" i="17"/>
  <c r="P69" i="18" l="1"/>
  <c r="O23" i="18"/>
  <c r="O24" i="18" s="1"/>
  <c r="P21" i="18"/>
  <c r="E28" i="17"/>
  <c r="P23" i="17"/>
  <c r="E90" i="17"/>
  <c r="D83" i="17"/>
  <c r="E28" i="18" l="1"/>
  <c r="P23" i="18"/>
  <c r="D69" i="18"/>
  <c r="N4" i="19" s="1"/>
  <c r="F90" i="17"/>
  <c r="P24" i="17"/>
  <c r="D24" i="17" s="1"/>
  <c r="D23" i="17"/>
  <c r="E30" i="17"/>
  <c r="F28" i="17"/>
  <c r="P24" i="18" l="1"/>
  <c r="D24" i="18" s="1"/>
  <c r="D23" i="18"/>
  <c r="E30" i="18"/>
  <c r="F28" i="18"/>
  <c r="E31" i="17"/>
  <c r="G90" i="17"/>
  <c r="F30" i="17"/>
  <c r="F31" i="17" s="1"/>
  <c r="G28" i="17"/>
  <c r="F30" i="18" l="1"/>
  <c r="F31" i="18" s="1"/>
  <c r="G28" i="18"/>
  <c r="E31" i="18"/>
  <c r="H90" i="17"/>
  <c r="G30" i="17"/>
  <c r="G31" i="17" s="1"/>
  <c r="H28" i="17"/>
  <c r="H28" i="18" l="1"/>
  <c r="G30" i="18"/>
  <c r="H30" i="17"/>
  <c r="I28" i="17"/>
  <c r="I90" i="17"/>
  <c r="G31" i="18" l="1"/>
  <c r="H30" i="18"/>
  <c r="H31" i="18" s="1"/>
  <c r="I28" i="18"/>
  <c r="I30" i="17"/>
  <c r="I31" i="17" s="1"/>
  <c r="J28" i="17"/>
  <c r="H31" i="17"/>
  <c r="J90" i="17"/>
  <c r="I30" i="18" l="1"/>
  <c r="J28" i="18"/>
  <c r="K28" i="17"/>
  <c r="J30" i="17"/>
  <c r="K90" i="17"/>
  <c r="J30" i="18" l="1"/>
  <c r="J31" i="18" s="1"/>
  <c r="K28" i="18"/>
  <c r="I31" i="18"/>
  <c r="J31" i="17"/>
  <c r="K30" i="17"/>
  <c r="K31" i="17" s="1"/>
  <c r="L28" i="17"/>
  <c r="L90" i="17"/>
  <c r="K30" i="18" l="1"/>
  <c r="L28" i="18"/>
  <c r="L30" i="17"/>
  <c r="L31" i="17" s="1"/>
  <c r="M28" i="17"/>
  <c r="M90" i="17"/>
  <c r="M28" i="18" l="1"/>
  <c r="L30" i="18"/>
  <c r="L31" i="18" s="1"/>
  <c r="K31" i="18"/>
  <c r="N90" i="17"/>
  <c r="M30" i="17"/>
  <c r="M31" i="17" s="1"/>
  <c r="N28" i="17"/>
  <c r="M30" i="18" l="1"/>
  <c r="N28" i="18"/>
  <c r="O28" i="17"/>
  <c r="N30" i="17"/>
  <c r="N31" i="17" s="1"/>
  <c r="O90" i="17"/>
  <c r="N30" i="18" l="1"/>
  <c r="N31" i="18" s="1"/>
  <c r="O28" i="18"/>
  <c r="M31" i="18"/>
  <c r="P90" i="17"/>
  <c r="O30" i="17"/>
  <c r="O31" i="17" s="1"/>
  <c r="P28" i="17"/>
  <c r="O30" i="18" l="1"/>
  <c r="O31" i="18" s="1"/>
  <c r="P28" i="18"/>
  <c r="P30" i="17"/>
  <c r="E35" i="17"/>
  <c r="E97" i="17"/>
  <c r="D90" i="17"/>
  <c r="E35" i="18" l="1"/>
  <c r="P30" i="18"/>
  <c r="F97" i="17"/>
  <c r="E37" i="17"/>
  <c r="F35" i="17"/>
  <c r="P31" i="17"/>
  <c r="D31" i="17" s="1"/>
  <c r="D30" i="17"/>
  <c r="E37" i="18" l="1"/>
  <c r="F35" i="18"/>
  <c r="P31" i="18"/>
  <c r="D31" i="18" s="1"/>
  <c r="D30" i="18"/>
  <c r="E38" i="17"/>
  <c r="G97" i="17"/>
  <c r="G35" i="17"/>
  <c r="F37" i="17"/>
  <c r="F38" i="17" s="1"/>
  <c r="G35" i="18" l="1"/>
  <c r="F37" i="18"/>
  <c r="F38" i="18" s="1"/>
  <c r="E38" i="18"/>
  <c r="H97" i="17"/>
  <c r="H35" i="17"/>
  <c r="G37" i="17"/>
  <c r="G38" i="17" s="1"/>
  <c r="G37" i="18" l="1"/>
  <c r="H35" i="18"/>
  <c r="I97" i="17"/>
  <c r="H37" i="17"/>
  <c r="H38" i="17" s="1"/>
  <c r="I35" i="17"/>
  <c r="H37" i="18" l="1"/>
  <c r="H38" i="18" s="1"/>
  <c r="I35" i="18"/>
  <c r="G38" i="18"/>
  <c r="I37" i="17"/>
  <c r="I38" i="17" s="1"/>
  <c r="J35" i="17"/>
  <c r="J97" i="17"/>
  <c r="I37" i="18" l="1"/>
  <c r="J35" i="18"/>
  <c r="K35" i="17"/>
  <c r="J37" i="17"/>
  <c r="K97" i="17"/>
  <c r="J37" i="18" l="1"/>
  <c r="J38" i="18" s="1"/>
  <c r="K35" i="18"/>
  <c r="I38" i="18"/>
  <c r="L97" i="17"/>
  <c r="J38" i="17"/>
  <c r="L35" i="17"/>
  <c r="K37" i="17"/>
  <c r="K38" i="17" s="1"/>
  <c r="L35" i="18" l="1"/>
  <c r="K37" i="18"/>
  <c r="L37" i="17"/>
  <c r="L38" i="17" s="1"/>
  <c r="M35" i="17"/>
  <c r="M97" i="17"/>
  <c r="K38" i="18" l="1"/>
  <c r="L37" i="18"/>
  <c r="L38" i="18" s="1"/>
  <c r="M35" i="18"/>
  <c r="N97" i="17"/>
  <c r="M37" i="17"/>
  <c r="M38" i="17" s="1"/>
  <c r="N35" i="17"/>
  <c r="M37" i="18" l="1"/>
  <c r="N35" i="18"/>
  <c r="O35" i="17"/>
  <c r="N37" i="17"/>
  <c r="N38" i="17" s="1"/>
  <c r="O97" i="17"/>
  <c r="N37" i="18" l="1"/>
  <c r="N38" i="18" s="1"/>
  <c r="O35" i="18"/>
  <c r="M38" i="18"/>
  <c r="P97" i="17"/>
  <c r="P35" i="17"/>
  <c r="O37" i="17"/>
  <c r="O38" i="17" s="1"/>
  <c r="O37" i="18" l="1"/>
  <c r="O38" i="18" s="1"/>
  <c r="P35" i="18"/>
  <c r="P37" i="17"/>
  <c r="E104" i="17"/>
  <c r="D97" i="17"/>
  <c r="E42" i="18" l="1"/>
  <c r="P37" i="18"/>
  <c r="F104" i="17"/>
  <c r="P38" i="17"/>
  <c r="D38" i="17" s="1"/>
  <c r="D37" i="17"/>
  <c r="I7" i="19" s="1"/>
  <c r="I10" i="19" l="1"/>
  <c r="I9" i="19"/>
  <c r="P38" i="18"/>
  <c r="D38" i="18" s="1"/>
  <c r="D37" i="18"/>
  <c r="E44" i="18"/>
  <c r="F42" i="18"/>
  <c r="G104" i="17"/>
  <c r="I12" i="19" l="1"/>
  <c r="H122" i="14" s="1"/>
  <c r="E9" i="16"/>
  <c r="F44" i="18"/>
  <c r="F45" i="18" s="1"/>
  <c r="G42" i="18"/>
  <c r="E45" i="18"/>
  <c r="H104" i="17"/>
  <c r="G44" i="18" l="1"/>
  <c r="H42" i="18"/>
  <c r="I104" i="17"/>
  <c r="H44" i="18" l="1"/>
  <c r="H45" i="18" s="1"/>
  <c r="I42" i="18"/>
  <c r="G45" i="18"/>
  <c r="J104" i="17"/>
  <c r="J42" i="18" l="1"/>
  <c r="I44" i="18"/>
  <c r="K104" i="17"/>
  <c r="I45" i="18" l="1"/>
  <c r="K42" i="18"/>
  <c r="J44" i="18"/>
  <c r="J45" i="18" s="1"/>
  <c r="L104" i="17"/>
  <c r="K44" i="18" l="1"/>
  <c r="K45" i="18" s="1"/>
  <c r="L42" i="18"/>
  <c r="M104" i="17"/>
  <c r="L44" i="18" l="1"/>
  <c r="L45" i="18" s="1"/>
  <c r="M42" i="18"/>
  <c r="N104" i="17"/>
  <c r="N42" i="18" l="1"/>
  <c r="M44" i="18"/>
  <c r="M45" i="18" s="1"/>
  <c r="O104" i="17"/>
  <c r="N44" i="18" l="1"/>
  <c r="N45" i="18" s="1"/>
  <c r="O42" i="18"/>
  <c r="P104" i="17"/>
  <c r="O44" i="18" l="1"/>
  <c r="O45" i="18" s="1"/>
  <c r="P42" i="18"/>
  <c r="E111" i="17"/>
  <c r="D104" i="17"/>
  <c r="P44" i="18" l="1"/>
  <c r="E49" i="18"/>
  <c r="F111" i="17"/>
  <c r="F49" i="18" l="1"/>
  <c r="E51" i="18"/>
  <c r="P45" i="18"/>
  <c r="D45" i="18" s="1"/>
  <c r="D44" i="18"/>
  <c r="G111" i="17"/>
  <c r="E52" i="18" l="1"/>
  <c r="F51" i="18"/>
  <c r="F52" i="18" s="1"/>
  <c r="G49" i="18"/>
  <c r="H111" i="17"/>
  <c r="G51" i="18" l="1"/>
  <c r="G52" i="18" s="1"/>
  <c r="H49" i="18"/>
  <c r="I111" i="17"/>
  <c r="I49" i="18" l="1"/>
  <c r="H51" i="18"/>
  <c r="J111" i="17"/>
  <c r="H52" i="18" l="1"/>
  <c r="J49" i="18"/>
  <c r="I51" i="18"/>
  <c r="I52" i="18" s="1"/>
  <c r="K111" i="17"/>
  <c r="J51" i="18" l="1"/>
  <c r="J52" i="18" s="1"/>
  <c r="K49" i="18"/>
  <c r="L111" i="17"/>
  <c r="K51" i="18" l="1"/>
  <c r="L49" i="18"/>
  <c r="M111" i="17"/>
  <c r="L51" i="18" l="1"/>
  <c r="L52" i="18" s="1"/>
  <c r="M49" i="18"/>
  <c r="K52" i="18"/>
  <c r="N111" i="17"/>
  <c r="M51" i="18" l="1"/>
  <c r="M52" i="18" s="1"/>
  <c r="N49" i="18"/>
  <c r="O111" i="17"/>
  <c r="N51" i="18" l="1"/>
  <c r="N52" i="18" s="1"/>
  <c r="O49" i="18"/>
  <c r="P111" i="17"/>
  <c r="O51" i="18" l="1"/>
  <c r="O52" i="18" s="1"/>
  <c r="P49" i="18"/>
  <c r="E118" i="17"/>
  <c r="D111" i="17"/>
  <c r="P51" i="18" l="1"/>
  <c r="F118" i="17"/>
  <c r="P52" i="18" l="1"/>
  <c r="D52" i="18" s="1"/>
  <c r="D51" i="18"/>
  <c r="G118" i="17"/>
  <c r="H118" i="17" l="1"/>
  <c r="D118" i="17" l="1"/>
  <c r="H65" i="14" l="1"/>
  <c r="I65" i="14" s="1"/>
  <c r="J65" i="14" s="1"/>
  <c r="K65" i="14" s="1"/>
  <c r="L65" i="14" s="1"/>
  <c r="H110" i="14" l="1"/>
  <c r="F155" i="14" l="1"/>
  <c r="F140" i="14"/>
  <c r="E155" i="14" l="1"/>
  <c r="F134" i="14"/>
  <c r="E150" i="14" l="1"/>
  <c r="E157" i="14" s="1"/>
  <c r="F152" i="14"/>
  <c r="G13" i="14"/>
  <c r="K151" i="14"/>
  <c r="K149" i="14"/>
  <c r="K88" i="14"/>
  <c r="K79" i="14" s="1"/>
  <c r="K69" i="14"/>
  <c r="K22" i="14"/>
  <c r="K83" i="14" l="1"/>
  <c r="K80" i="14"/>
  <c r="H69" i="14"/>
  <c r="F5" i="16" l="1"/>
  <c r="E10" i="16"/>
  <c r="C8" i="16" l="1"/>
  <c r="D8" i="16"/>
  <c r="D10" i="16" s="1"/>
  <c r="J69" i="14"/>
  <c r="L69" i="14" s="1"/>
  <c r="I69" i="14"/>
  <c r="F60" i="14"/>
  <c r="C10" i="16" l="1"/>
  <c r="C11" i="16" l="1"/>
  <c r="I151" i="14" l="1"/>
  <c r="J151" i="14"/>
  <c r="F69" i="14" l="1"/>
  <c r="L2" i="14" l="1"/>
  <c r="G61" i="14"/>
  <c r="G74" i="14"/>
  <c r="E104" i="14"/>
  <c r="H103" i="14"/>
  <c r="E119" i="14"/>
  <c r="E111" i="14"/>
  <c r="I103" i="14" l="1"/>
  <c r="J103" i="14" s="1"/>
  <c r="K103" i="14" s="1"/>
  <c r="F104" i="14"/>
  <c r="H61" i="14"/>
  <c r="I61" i="14" s="1"/>
  <c r="J61" i="14" s="1"/>
  <c r="K61" i="14" s="1"/>
  <c r="L61" i="14" s="1"/>
  <c r="H123" i="14"/>
  <c r="H120" i="14" s="1"/>
  <c r="I123" i="14" l="1"/>
  <c r="H74" i="14"/>
  <c r="J123" i="14" l="1"/>
  <c r="I74" i="14"/>
  <c r="K123" i="14" l="1"/>
  <c r="L123" i="14" s="1"/>
  <c r="L74" i="14" s="1"/>
  <c r="J74" i="14"/>
  <c r="L22" i="14"/>
  <c r="K141" i="14"/>
  <c r="K139" i="14" s="1"/>
  <c r="K140" i="14" s="1"/>
  <c r="K74" i="14" l="1"/>
  <c r="K13" i="14"/>
  <c r="K17" i="14" l="1"/>
  <c r="J141" i="14"/>
  <c r="J139" i="14" s="1"/>
  <c r="J140" i="14" s="1"/>
  <c r="H151" i="14"/>
  <c r="G151" i="14"/>
  <c r="G152" i="14" s="1"/>
  <c r="F151" i="14"/>
  <c r="J149" i="14"/>
  <c r="I149" i="14"/>
  <c r="H149" i="14"/>
  <c r="G149" i="14"/>
  <c r="F149" i="14"/>
  <c r="E147" i="14"/>
  <c r="F145" i="14"/>
  <c r="E145" i="14"/>
  <c r="I141" i="14"/>
  <c r="I139" i="14" s="1"/>
  <c r="I140" i="14" s="1"/>
  <c r="H141" i="14"/>
  <c r="G141" i="14"/>
  <c r="G139" i="14" s="1"/>
  <c r="E141" i="14"/>
  <c r="H139" i="14"/>
  <c r="H140" i="14" s="1"/>
  <c r="E136" i="14"/>
  <c r="D136" i="14"/>
  <c r="E120" i="14"/>
  <c r="D120" i="14"/>
  <c r="E113" i="14"/>
  <c r="D113" i="14"/>
  <c r="E109" i="14"/>
  <c r="D109" i="14"/>
  <c r="E108" i="14"/>
  <c r="E107" i="14" s="1"/>
  <c r="D108" i="14"/>
  <c r="D107" i="14" s="1"/>
  <c r="G104" i="14"/>
  <c r="E102" i="14"/>
  <c r="D102" i="14"/>
  <c r="E101" i="14"/>
  <c r="E100" i="14" s="1"/>
  <c r="D101" i="14"/>
  <c r="D100" i="14" s="1"/>
  <c r="L88" i="14"/>
  <c r="L83" i="14" s="1"/>
  <c r="J88" i="14"/>
  <c r="J79" i="14" s="1"/>
  <c r="I88" i="14"/>
  <c r="I83" i="14" s="1"/>
  <c r="H88" i="14"/>
  <c r="H83" i="14" s="1"/>
  <c r="G88" i="14"/>
  <c r="G83" i="14" s="1"/>
  <c r="G87" i="14"/>
  <c r="H87" i="14" s="1"/>
  <c r="I87" i="14" s="1"/>
  <c r="J87" i="14" s="1"/>
  <c r="G86" i="14"/>
  <c r="H86" i="14" s="1"/>
  <c r="F85" i="14"/>
  <c r="F77" i="14" s="1"/>
  <c r="F76" i="14" s="1"/>
  <c r="E85" i="14"/>
  <c r="E77" i="14" s="1"/>
  <c r="E76" i="14" s="1"/>
  <c r="D85" i="14"/>
  <c r="D77" i="14" s="1"/>
  <c r="D76" i="14" s="1"/>
  <c r="J83" i="14"/>
  <c r="F83" i="14"/>
  <c r="E83" i="14"/>
  <c r="D83" i="14"/>
  <c r="J80" i="14"/>
  <c r="H80" i="14"/>
  <c r="F80" i="14"/>
  <c r="E80" i="14"/>
  <c r="D80" i="14"/>
  <c r="H79" i="14"/>
  <c r="F79" i="14"/>
  <c r="E79" i="14"/>
  <c r="D79" i="14"/>
  <c r="E69" i="14"/>
  <c r="E60" i="14"/>
  <c r="D60" i="14"/>
  <c r="E51" i="14"/>
  <c r="D51" i="14"/>
  <c r="G50" i="14"/>
  <c r="H50" i="14" s="1"/>
  <c r="I50" i="14" s="1"/>
  <c r="J50" i="14" s="1"/>
  <c r="E48" i="14"/>
  <c r="D48" i="14"/>
  <c r="E46" i="14"/>
  <c r="D46" i="14"/>
  <c r="G45" i="14"/>
  <c r="H45" i="14" s="1"/>
  <c r="I45" i="14" s="1"/>
  <c r="J45" i="14" s="1"/>
  <c r="E43" i="14"/>
  <c r="D43" i="14"/>
  <c r="E41" i="14"/>
  <c r="D41" i="14"/>
  <c r="G40" i="14"/>
  <c r="H40" i="14" s="1"/>
  <c r="E38" i="14"/>
  <c r="D38" i="14"/>
  <c r="F35" i="14"/>
  <c r="E35" i="14"/>
  <c r="D35" i="14"/>
  <c r="E34" i="14"/>
  <c r="D34" i="14"/>
  <c r="H27" i="14"/>
  <c r="I27" i="14" s="1"/>
  <c r="J27" i="14" s="1"/>
  <c r="D26" i="14"/>
  <c r="J22" i="14"/>
  <c r="I22" i="14"/>
  <c r="H22" i="14"/>
  <c r="G22" i="14"/>
  <c r="G28" i="14" s="1"/>
  <c r="G31" i="14" s="1"/>
  <c r="F22" i="14"/>
  <c r="E18" i="14"/>
  <c r="D18" i="14"/>
  <c r="E17" i="14"/>
  <c r="D17" i="14"/>
  <c r="I13" i="14"/>
  <c r="H13" i="14"/>
  <c r="G112" i="14"/>
  <c r="F17" i="14" l="1"/>
  <c r="H28" i="14"/>
  <c r="K112" i="14"/>
  <c r="K115" i="14"/>
  <c r="K105" i="14"/>
  <c r="K101" i="14" s="1"/>
  <c r="K100" i="14" s="1"/>
  <c r="L87" i="14"/>
  <c r="K87" i="14"/>
  <c r="K50" i="14"/>
  <c r="L27" i="14"/>
  <c r="K27" i="14"/>
  <c r="K28" i="14" s="1"/>
  <c r="K45" i="14"/>
  <c r="H152" i="14"/>
  <c r="D75" i="14"/>
  <c r="D36" i="14"/>
  <c r="F57" i="14"/>
  <c r="F53" i="14"/>
  <c r="G53" i="14" s="1"/>
  <c r="F47" i="14"/>
  <c r="F32" i="14"/>
  <c r="G32" i="14" s="1"/>
  <c r="F56" i="14"/>
  <c r="G56" i="14" s="1"/>
  <c r="F52" i="14"/>
  <c r="G52" i="14" s="1"/>
  <c r="F44" i="14"/>
  <c r="F46" i="14" s="1"/>
  <c r="F59" i="14"/>
  <c r="G59" i="14" s="1"/>
  <c r="F55" i="14"/>
  <c r="G55" i="14" s="1"/>
  <c r="F49" i="14"/>
  <c r="F51" i="14" s="1"/>
  <c r="F42" i="14"/>
  <c r="F31" i="14"/>
  <c r="F58" i="14"/>
  <c r="F54" i="14"/>
  <c r="G54" i="14" s="1"/>
  <c r="H54" i="14" s="1"/>
  <c r="F39" i="14"/>
  <c r="F41" i="14" s="1"/>
  <c r="F34" i="14"/>
  <c r="F36" i="14" s="1"/>
  <c r="F38" i="14"/>
  <c r="F48" i="14"/>
  <c r="G108" i="14"/>
  <c r="G107" i="14" s="1"/>
  <c r="F111" i="14"/>
  <c r="F43" i="14"/>
  <c r="H85" i="14"/>
  <c r="H77" i="14" s="1"/>
  <c r="H76" i="14" s="1"/>
  <c r="D33" i="14"/>
  <c r="D30" i="14" s="1"/>
  <c r="E33" i="14"/>
  <c r="I80" i="14"/>
  <c r="G17" i="14"/>
  <c r="H17" i="14"/>
  <c r="I79" i="14"/>
  <c r="I17" i="14"/>
  <c r="L141" i="14"/>
  <c r="L139" i="14" s="1"/>
  <c r="L140" i="14" s="1"/>
  <c r="J13" i="14"/>
  <c r="G79" i="14"/>
  <c r="L79" i="14"/>
  <c r="G80" i="14"/>
  <c r="L80" i="14"/>
  <c r="G85" i="14"/>
  <c r="G77" i="14" s="1"/>
  <c r="G76" i="14" s="1"/>
  <c r="G35" i="14"/>
  <c r="E36" i="14"/>
  <c r="E75" i="14"/>
  <c r="F157" i="14"/>
  <c r="I115" i="14"/>
  <c r="I105" i="14"/>
  <c r="I112" i="14"/>
  <c r="J28" i="14"/>
  <c r="F115" i="14"/>
  <c r="F114" i="14" s="1"/>
  <c r="F119" i="14" s="1"/>
  <c r="F101" i="14"/>
  <c r="F100" i="14" s="1"/>
  <c r="F108" i="14"/>
  <c r="F107" i="14" s="1"/>
  <c r="G44" i="14"/>
  <c r="G42" i="14"/>
  <c r="G47" i="14"/>
  <c r="G39" i="14"/>
  <c r="I40" i="14"/>
  <c r="H35" i="14"/>
  <c r="G115" i="14"/>
  <c r="G105" i="14"/>
  <c r="G101" i="14" s="1"/>
  <c r="G100" i="14" s="1"/>
  <c r="H104" i="14"/>
  <c r="H112" i="14"/>
  <c r="H115" i="14"/>
  <c r="H105" i="14"/>
  <c r="I28" i="14"/>
  <c r="I70" i="14"/>
  <c r="G140" i="14"/>
  <c r="I86" i="14"/>
  <c r="H52" i="14" l="1"/>
  <c r="H55" i="14"/>
  <c r="H56" i="14"/>
  <c r="I56" i="14" s="1"/>
  <c r="J56" i="14" s="1"/>
  <c r="H31" i="14"/>
  <c r="H59" i="14"/>
  <c r="H32" i="14"/>
  <c r="H47" i="14"/>
  <c r="I47" i="14" s="1"/>
  <c r="J47" i="14" s="1"/>
  <c r="H53" i="14"/>
  <c r="I53" i="14" s="1"/>
  <c r="J53" i="14" s="1"/>
  <c r="J105" i="14"/>
  <c r="D131" i="14"/>
  <c r="D132" i="14" s="1"/>
  <c r="G49" i="14"/>
  <c r="G48" i="14" s="1"/>
  <c r="H108" i="14"/>
  <c r="H107" i="14" s="1"/>
  <c r="G111" i="14"/>
  <c r="L112" i="14"/>
  <c r="J17" i="14"/>
  <c r="E30" i="14"/>
  <c r="E131" i="14" s="1"/>
  <c r="E146" i="14" s="1"/>
  <c r="E144" i="14" s="1"/>
  <c r="F33" i="14"/>
  <c r="F30" i="14" s="1"/>
  <c r="I52" i="14"/>
  <c r="J52" i="14" s="1"/>
  <c r="J70" i="14"/>
  <c r="K70" i="14" s="1"/>
  <c r="I152" i="14"/>
  <c r="F75" i="14"/>
  <c r="J115" i="14"/>
  <c r="J112" i="14"/>
  <c r="J40" i="14"/>
  <c r="K40" i="14" s="1"/>
  <c r="K35" i="14" s="1"/>
  <c r="I35" i="14"/>
  <c r="I32" i="14"/>
  <c r="J32" i="14" s="1"/>
  <c r="G43" i="14"/>
  <c r="G46" i="14"/>
  <c r="H44" i="14"/>
  <c r="J86" i="14"/>
  <c r="K86" i="14" s="1"/>
  <c r="K85" i="14" s="1"/>
  <c r="K77" i="14" s="1"/>
  <c r="K76" i="14" s="1"/>
  <c r="I85" i="14"/>
  <c r="I77" i="14" s="1"/>
  <c r="I76" i="14" s="1"/>
  <c r="G38" i="14"/>
  <c r="G41" i="14"/>
  <c r="H39" i="14"/>
  <c r="H42" i="14"/>
  <c r="G37" i="14"/>
  <c r="I55" i="14"/>
  <c r="J55" i="14" s="1"/>
  <c r="I104" i="14"/>
  <c r="H101" i="14"/>
  <c r="H100" i="14" s="1"/>
  <c r="I59" i="14"/>
  <c r="J59" i="14" s="1"/>
  <c r="I54" i="14"/>
  <c r="J54" i="14" s="1"/>
  <c r="E40" i="17" l="1"/>
  <c r="H49" i="14"/>
  <c r="H48" i="14" s="1"/>
  <c r="G51" i="14"/>
  <c r="G34" i="14"/>
  <c r="K152" i="14"/>
  <c r="G7" i="18" s="1"/>
  <c r="E54" i="18" s="1"/>
  <c r="K47" i="14"/>
  <c r="L47" i="14" s="1"/>
  <c r="K53" i="14"/>
  <c r="L53" i="14" s="1"/>
  <c r="K54" i="14"/>
  <c r="L54" i="14" s="1"/>
  <c r="K55" i="14"/>
  <c r="L55" i="14" s="1"/>
  <c r="K52" i="14"/>
  <c r="L52" i="14" s="1"/>
  <c r="K56" i="14"/>
  <c r="L56" i="14" s="1"/>
  <c r="K32" i="14"/>
  <c r="L32" i="14" s="1"/>
  <c r="K59" i="14"/>
  <c r="L59" i="14" s="1"/>
  <c r="L115" i="14"/>
  <c r="L105" i="14"/>
  <c r="L17" i="14"/>
  <c r="I110" i="14"/>
  <c r="H111" i="14"/>
  <c r="E132" i="14"/>
  <c r="L70" i="14"/>
  <c r="I157" i="14"/>
  <c r="G33" i="14"/>
  <c r="G30" i="14" s="1"/>
  <c r="H43" i="14"/>
  <c r="H46" i="14"/>
  <c r="I44" i="14"/>
  <c r="H34" i="14"/>
  <c r="H67" i="14" s="1"/>
  <c r="H41" i="14"/>
  <c r="I39" i="14"/>
  <c r="H38" i="14"/>
  <c r="I31" i="14"/>
  <c r="I101" i="14"/>
  <c r="I100" i="14" s="1"/>
  <c r="J104" i="14"/>
  <c r="L86" i="14"/>
  <c r="L85" i="14" s="1"/>
  <c r="L77" i="14" s="1"/>
  <c r="L76" i="14" s="1"/>
  <c r="J85" i="14"/>
  <c r="J77" i="14" s="1"/>
  <c r="J76" i="14" s="1"/>
  <c r="I42" i="14"/>
  <c r="H37" i="14"/>
  <c r="J35" i="14"/>
  <c r="F54" i="18" l="1"/>
  <c r="E56" i="18"/>
  <c r="E42" i="17"/>
  <c r="H40" i="17"/>
  <c r="D40" i="17" s="1"/>
  <c r="F6" i="16" s="1"/>
  <c r="H51" i="14"/>
  <c r="I49" i="14"/>
  <c r="I34" i="14" s="1"/>
  <c r="I67" i="14" s="1"/>
  <c r="G36" i="14"/>
  <c r="G67" i="14"/>
  <c r="K157" i="14"/>
  <c r="H36" i="14"/>
  <c r="J110" i="14"/>
  <c r="I111" i="14"/>
  <c r="I108" i="14"/>
  <c r="I107" i="14" s="1"/>
  <c r="H33" i="14"/>
  <c r="H30" i="14" s="1"/>
  <c r="I46" i="14"/>
  <c r="J44" i="14"/>
  <c r="K44" i="14" s="1"/>
  <c r="L44" i="14" s="1"/>
  <c r="I43" i="14"/>
  <c r="J42" i="14"/>
  <c r="K42" i="14" s="1"/>
  <c r="I37" i="14"/>
  <c r="I41" i="14"/>
  <c r="J39" i="14"/>
  <c r="K39" i="14" s="1"/>
  <c r="L39" i="14" s="1"/>
  <c r="I38" i="14"/>
  <c r="J31" i="14"/>
  <c r="J101" i="14"/>
  <c r="J100" i="14" s="1"/>
  <c r="F56" i="18" l="1"/>
  <c r="E58" i="18"/>
  <c r="O54" i="18"/>
  <c r="P54" i="18"/>
  <c r="J49" i="14"/>
  <c r="K49" i="14" s="1"/>
  <c r="L49" i="14" s="1"/>
  <c r="I51" i="14"/>
  <c r="G5" i="16"/>
  <c r="F8" i="16"/>
  <c r="E44" i="17"/>
  <c r="F42" i="17"/>
  <c r="I48" i="14"/>
  <c r="I33" i="14" s="1"/>
  <c r="I30" i="14" s="1"/>
  <c r="K37" i="14"/>
  <c r="L37" i="14" s="1"/>
  <c r="L42" i="14"/>
  <c r="K110" i="14"/>
  <c r="L108" i="14"/>
  <c r="L107" i="14" s="1"/>
  <c r="K43" i="14"/>
  <c r="L43" i="14" s="1"/>
  <c r="K46" i="14"/>
  <c r="L46" i="14" s="1"/>
  <c r="K31" i="14"/>
  <c r="L31" i="14" s="1"/>
  <c r="K48" i="14"/>
  <c r="L48" i="14" s="1"/>
  <c r="K51" i="14"/>
  <c r="L51" i="14" s="1"/>
  <c r="K38" i="14"/>
  <c r="L38" i="14" s="1"/>
  <c r="K34" i="14"/>
  <c r="K41" i="14"/>
  <c r="L41" i="14" s="1"/>
  <c r="J152" i="14"/>
  <c r="J157" i="14"/>
  <c r="I36" i="14"/>
  <c r="J111" i="14"/>
  <c r="J108" i="14"/>
  <c r="J107" i="14" s="1"/>
  <c r="L101" i="14"/>
  <c r="L100" i="14" s="1"/>
  <c r="J51" i="14"/>
  <c r="J48" i="14"/>
  <c r="J37" i="14"/>
  <c r="J38" i="14"/>
  <c r="J34" i="14"/>
  <c r="J67" i="14" s="1"/>
  <c r="J41" i="14"/>
  <c r="J46" i="14"/>
  <c r="J43" i="14"/>
  <c r="D54" i="18" l="1"/>
  <c r="E59" i="18"/>
  <c r="F58" i="18"/>
  <c r="F59" i="18" s="1"/>
  <c r="G56" i="18"/>
  <c r="E152" i="14"/>
  <c r="E47" i="17"/>
  <c r="E45" i="17"/>
  <c r="F44" i="17"/>
  <c r="F45" i="17" s="1"/>
  <c r="G42" i="17"/>
  <c r="K67" i="14"/>
  <c r="K60" i="14" s="1"/>
  <c r="L34" i="14"/>
  <c r="K33" i="14"/>
  <c r="L33" i="14" s="1"/>
  <c r="G114" i="14"/>
  <c r="K108" i="14"/>
  <c r="K107" i="14" s="1"/>
  <c r="K36" i="14"/>
  <c r="L36" i="14" s="1"/>
  <c r="J36" i="14"/>
  <c r="J33" i="14"/>
  <c r="J30" i="14" s="1"/>
  <c r="L67" i="14"/>
  <c r="G58" i="18" l="1"/>
  <c r="G59" i="18" s="1"/>
  <c r="H56" i="18"/>
  <c r="D5" i="18"/>
  <c r="E76" i="18" s="1"/>
  <c r="H6" i="16"/>
  <c r="H47" i="17"/>
  <c r="D47" i="17" s="1"/>
  <c r="H42" i="17"/>
  <c r="G44" i="17"/>
  <c r="G45" i="17" s="1"/>
  <c r="K30" i="14"/>
  <c r="K125" i="14" s="1"/>
  <c r="G119" i="14"/>
  <c r="H114" i="14"/>
  <c r="H119" i="14" s="1"/>
  <c r="L30" i="14"/>
  <c r="F76" i="18" l="1"/>
  <c r="I56" i="18"/>
  <c r="H58" i="18"/>
  <c r="H59" i="18" s="1"/>
  <c r="G6" i="16"/>
  <c r="D5" i="17"/>
  <c r="E62" i="17" s="1"/>
  <c r="F62" i="17" s="1"/>
  <c r="G62" i="17" s="1"/>
  <c r="H62" i="17" s="1"/>
  <c r="I62" i="17" s="1"/>
  <c r="J62" i="17" s="1"/>
  <c r="K62" i="17" s="1"/>
  <c r="L62" i="17" s="1"/>
  <c r="M62" i="17" s="1"/>
  <c r="N62" i="17" s="1"/>
  <c r="O62" i="17" s="1"/>
  <c r="P62" i="17" s="1"/>
  <c r="E69" i="17" s="1"/>
  <c r="H44" i="17"/>
  <c r="H45" i="17" s="1"/>
  <c r="I42" i="17"/>
  <c r="H113" i="14"/>
  <c r="I114" i="14"/>
  <c r="J114" i="14" s="1"/>
  <c r="K114" i="14" s="1"/>
  <c r="J56" i="18" l="1"/>
  <c r="I58" i="18"/>
  <c r="G76" i="18"/>
  <c r="K119" i="14"/>
  <c r="L114" i="14"/>
  <c r="L119" i="14" s="1"/>
  <c r="D62" i="17"/>
  <c r="M3" i="19" s="1"/>
  <c r="G8" i="16"/>
  <c r="S6" i="16"/>
  <c r="H5" i="16"/>
  <c r="J42" i="17"/>
  <c r="I44" i="17"/>
  <c r="I45" i="17" s="1"/>
  <c r="G75" i="14"/>
  <c r="I59" i="18" l="1"/>
  <c r="H76" i="18"/>
  <c r="J58" i="18"/>
  <c r="J59" i="18" s="1"/>
  <c r="K56" i="18"/>
  <c r="L113" i="14"/>
  <c r="H8" i="16"/>
  <c r="I5" i="16"/>
  <c r="M5" i="19"/>
  <c r="I7" i="16" s="1"/>
  <c r="I13" i="16" s="1"/>
  <c r="I12" i="16" s="1"/>
  <c r="F69" i="17"/>
  <c r="G69" i="17" s="1"/>
  <c r="K42" i="17"/>
  <c r="J44" i="17"/>
  <c r="H75" i="14"/>
  <c r="L56" i="18" l="1"/>
  <c r="K58" i="18"/>
  <c r="K59" i="18" s="1"/>
  <c r="I76" i="18"/>
  <c r="J5" i="16"/>
  <c r="I8" i="16"/>
  <c r="H69" i="17"/>
  <c r="I69" i="17" s="1"/>
  <c r="J69" i="17" s="1"/>
  <c r="J45" i="17"/>
  <c r="K44" i="17"/>
  <c r="K45" i="17" s="1"/>
  <c r="L42" i="17"/>
  <c r="L75" i="14"/>
  <c r="J76" i="18" l="1"/>
  <c r="M56" i="18"/>
  <c r="L58" i="18"/>
  <c r="L59" i="18" s="1"/>
  <c r="M42" i="17"/>
  <c r="L44" i="17"/>
  <c r="L45" i="17" s="1"/>
  <c r="K69" i="17"/>
  <c r="F120" i="14"/>
  <c r="N56" i="18" l="1"/>
  <c r="M58" i="18"/>
  <c r="M59" i="18" s="1"/>
  <c r="K76" i="18"/>
  <c r="L69" i="17"/>
  <c r="M69" i="17" s="1"/>
  <c r="N69" i="17" s="1"/>
  <c r="O69" i="17" s="1"/>
  <c r="P69" i="17" s="1"/>
  <c r="N42" i="17"/>
  <c r="M44" i="17"/>
  <c r="M45" i="17" s="1"/>
  <c r="F131" i="14"/>
  <c r="L76" i="18" l="1"/>
  <c r="N58" i="18"/>
  <c r="N59" i="18" s="1"/>
  <c r="O56" i="18"/>
  <c r="D69" i="17"/>
  <c r="N3" i="19" s="1"/>
  <c r="N44" i="17"/>
  <c r="N45" i="17" s="1"/>
  <c r="O42" i="17"/>
  <c r="D6" i="17"/>
  <c r="F132" i="14"/>
  <c r="F146" i="14"/>
  <c r="F143" i="14" s="1"/>
  <c r="G142" i="14" s="1"/>
  <c r="G134" i="14" s="1"/>
  <c r="P56" i="18" l="1"/>
  <c r="O58" i="18"/>
  <c r="O59" i="18" s="1"/>
  <c r="M76" i="18"/>
  <c r="O44" i="17"/>
  <c r="O45" i="17" s="1"/>
  <c r="P42" i="17"/>
  <c r="N5" i="19"/>
  <c r="J7" i="16" s="1"/>
  <c r="E3" i="19"/>
  <c r="F144" i="14"/>
  <c r="N76" i="18" l="1"/>
  <c r="E63" i="18"/>
  <c r="P58" i="18"/>
  <c r="J13" i="16"/>
  <c r="J12" i="16" s="1"/>
  <c r="K5" i="16"/>
  <c r="J8" i="16"/>
  <c r="E49" i="17"/>
  <c r="P44" i="17"/>
  <c r="F147" i="14"/>
  <c r="F3" i="14" s="1"/>
  <c r="F135" i="14"/>
  <c r="F136" i="14" s="1"/>
  <c r="P59" i="18" l="1"/>
  <c r="D59" i="18" s="1"/>
  <c r="D58" i="18"/>
  <c r="L8" i="19" s="1"/>
  <c r="E65" i="18"/>
  <c r="F63" i="18"/>
  <c r="O76" i="18"/>
  <c r="P45" i="17"/>
  <c r="D45" i="17" s="1"/>
  <c r="D44" i="17"/>
  <c r="E51" i="17"/>
  <c r="F49" i="17"/>
  <c r="G145" i="14"/>
  <c r="F65" i="18" l="1"/>
  <c r="F66" i="18" s="1"/>
  <c r="G63" i="18"/>
  <c r="E66" i="18"/>
  <c r="P76" i="18"/>
  <c r="G49" i="17"/>
  <c r="F51" i="17"/>
  <c r="F52" i="17" s="1"/>
  <c r="E52" i="17"/>
  <c r="J7" i="19"/>
  <c r="G120" i="14"/>
  <c r="G60" i="14" s="1"/>
  <c r="G125" i="14" s="1"/>
  <c r="G65" i="18" l="1"/>
  <c r="H63" i="18"/>
  <c r="E83" i="18"/>
  <c r="D76" i="18"/>
  <c r="O4" i="19" s="1"/>
  <c r="O5" i="19" s="1"/>
  <c r="K7" i="16" s="1"/>
  <c r="J9" i="19"/>
  <c r="J10" i="19"/>
  <c r="H49" i="17"/>
  <c r="G51" i="17"/>
  <c r="G131" i="14"/>
  <c r="H65" i="18" l="1"/>
  <c r="H66" i="18" s="1"/>
  <c r="I63" i="18"/>
  <c r="K13" i="16"/>
  <c r="K12" i="16" s="1"/>
  <c r="K8" i="16"/>
  <c r="L5" i="16"/>
  <c r="F83" i="18"/>
  <c r="G66" i="18"/>
  <c r="J12" i="19"/>
  <c r="I122" i="14" s="1"/>
  <c r="F9" i="16"/>
  <c r="F10" i="16" s="1"/>
  <c r="H51" i="17"/>
  <c r="H52" i="17" s="1"/>
  <c r="I49" i="17"/>
  <c r="G52" i="17"/>
  <c r="G132" i="14"/>
  <c r="G146" i="14"/>
  <c r="G143" i="14" s="1"/>
  <c r="H142" i="14" s="1"/>
  <c r="G83" i="18" l="1"/>
  <c r="J63" i="18"/>
  <c r="I65" i="18"/>
  <c r="J49" i="17"/>
  <c r="I51" i="17"/>
  <c r="G144" i="14"/>
  <c r="G135" i="14"/>
  <c r="G136" i="14" s="1"/>
  <c r="G147" i="14"/>
  <c r="G3" i="14" s="1"/>
  <c r="G1" i="14" s="1"/>
  <c r="H134" i="14"/>
  <c r="H145" i="14"/>
  <c r="I66" i="18" l="1"/>
  <c r="J65" i="18"/>
  <c r="J66" i="18" s="1"/>
  <c r="K63" i="18"/>
  <c r="H83" i="18"/>
  <c r="I52" i="17"/>
  <c r="K49" i="17"/>
  <c r="J51" i="17"/>
  <c r="J52" i="17" s="1"/>
  <c r="H60" i="14"/>
  <c r="H125" i="14" s="1"/>
  <c r="L63" i="18" l="1"/>
  <c r="K65" i="18"/>
  <c r="K66" i="18" s="1"/>
  <c r="I83" i="18"/>
  <c r="L49" i="17"/>
  <c r="K51" i="17"/>
  <c r="H131" i="14"/>
  <c r="L65" i="18" l="1"/>
  <c r="L66" i="18" s="1"/>
  <c r="M63" i="18"/>
  <c r="J83" i="18"/>
  <c r="K52" i="17"/>
  <c r="L51" i="17"/>
  <c r="L52" i="17" s="1"/>
  <c r="M49" i="17"/>
  <c r="H132" i="14"/>
  <c r="H146" i="14"/>
  <c r="H143" i="14" s="1"/>
  <c r="K83" i="18" l="1"/>
  <c r="N63" i="18"/>
  <c r="M65" i="18"/>
  <c r="M66" i="18" s="1"/>
  <c r="M51" i="17"/>
  <c r="N49" i="17"/>
  <c r="H144" i="14"/>
  <c r="I142" i="14"/>
  <c r="H135" i="14"/>
  <c r="H136" i="14" s="1"/>
  <c r="H147" i="14"/>
  <c r="H3" i="14" s="1"/>
  <c r="H1" i="14" s="1"/>
  <c r="N65" i="18" l="1"/>
  <c r="N66" i="18" s="1"/>
  <c r="O63" i="18"/>
  <c r="L83" i="18"/>
  <c r="O49" i="17"/>
  <c r="N51" i="17"/>
  <c r="N52" i="17" s="1"/>
  <c r="M52" i="17"/>
  <c r="I134" i="14"/>
  <c r="I145" i="14"/>
  <c r="P63" i="18" l="1"/>
  <c r="O65" i="18"/>
  <c r="O66" i="18" s="1"/>
  <c r="M83" i="18"/>
  <c r="P49" i="17"/>
  <c r="O51" i="17"/>
  <c r="O52" i="17" s="1"/>
  <c r="I120" i="14"/>
  <c r="I60" i="14" s="1"/>
  <c r="I125" i="14" s="1"/>
  <c r="N83" i="18" l="1"/>
  <c r="E70" i="18"/>
  <c r="P65" i="18"/>
  <c r="P51" i="17"/>
  <c r="E56" i="17"/>
  <c r="P66" i="18" l="1"/>
  <c r="D66" i="18" s="1"/>
  <c r="D65" i="18"/>
  <c r="M8" i="19" s="1"/>
  <c r="E72" i="18"/>
  <c r="F70" i="18"/>
  <c r="O83" i="18"/>
  <c r="E58" i="17"/>
  <c r="F56" i="17"/>
  <c r="P52" i="17"/>
  <c r="D52" i="17" s="1"/>
  <c r="D51" i="17"/>
  <c r="F72" i="18" l="1"/>
  <c r="F73" i="18" s="1"/>
  <c r="G70" i="18"/>
  <c r="E73" i="18"/>
  <c r="P83" i="18"/>
  <c r="K7" i="19"/>
  <c r="G56" i="17"/>
  <c r="F58" i="17"/>
  <c r="F59" i="17" s="1"/>
  <c r="E59" i="17"/>
  <c r="G72" i="18" l="1"/>
  <c r="H70" i="18"/>
  <c r="E90" i="18"/>
  <c r="D83" i="18"/>
  <c r="P4" i="19" s="1"/>
  <c r="G58" i="17"/>
  <c r="H56" i="17"/>
  <c r="K9" i="19"/>
  <c r="K10" i="19"/>
  <c r="F90" i="18" l="1"/>
  <c r="H72" i="18"/>
  <c r="H73" i="18" s="1"/>
  <c r="I70" i="18"/>
  <c r="P5" i="19"/>
  <c r="G73" i="18"/>
  <c r="K12" i="19"/>
  <c r="J122" i="14" s="1"/>
  <c r="J120" i="14" s="1"/>
  <c r="J60" i="14" s="1"/>
  <c r="J125" i="14" s="1"/>
  <c r="G9" i="16"/>
  <c r="G10" i="16" s="1"/>
  <c r="H58" i="17"/>
  <c r="H59" i="17" s="1"/>
  <c r="I56" i="17"/>
  <c r="G59" i="17"/>
  <c r="L7" i="16" l="1"/>
  <c r="J70" i="18"/>
  <c r="I72" i="18"/>
  <c r="G90" i="18"/>
  <c r="J56" i="17"/>
  <c r="I58" i="17"/>
  <c r="K70" i="18" l="1"/>
  <c r="J72" i="18"/>
  <c r="J73" i="18" s="1"/>
  <c r="I73" i="18"/>
  <c r="H90" i="18"/>
  <c r="L13" i="16"/>
  <c r="L12" i="16" s="1"/>
  <c r="M5" i="16"/>
  <c r="L8" i="16"/>
  <c r="I59" i="17"/>
  <c r="K56" i="17"/>
  <c r="J58" i="17"/>
  <c r="J59" i="17" s="1"/>
  <c r="I90" i="18" l="1"/>
  <c r="K72" i="18"/>
  <c r="L70" i="18"/>
  <c r="L56" i="17"/>
  <c r="K58" i="17"/>
  <c r="K59" i="17" s="1"/>
  <c r="J90" i="18" l="1"/>
  <c r="M70" i="18"/>
  <c r="L72" i="18"/>
  <c r="L73" i="18" s="1"/>
  <c r="K73" i="18"/>
  <c r="M56" i="17"/>
  <c r="L58" i="17"/>
  <c r="N70" i="18" l="1"/>
  <c r="M72" i="18"/>
  <c r="K90" i="18"/>
  <c r="L59" i="17"/>
  <c r="N56" i="17"/>
  <c r="M58" i="17"/>
  <c r="M59" i="17" s="1"/>
  <c r="M73" i="18" l="1"/>
  <c r="L90" i="18"/>
  <c r="O70" i="18"/>
  <c r="N72" i="18"/>
  <c r="N73" i="18" s="1"/>
  <c r="O56" i="17"/>
  <c r="N58" i="17"/>
  <c r="N59" i="17" s="1"/>
  <c r="M90" i="18" l="1"/>
  <c r="P70" i="18"/>
  <c r="O72" i="18"/>
  <c r="O73" i="18" s="1"/>
  <c r="P56" i="17"/>
  <c r="O58" i="17"/>
  <c r="O59" i="17" s="1"/>
  <c r="E77" i="18" l="1"/>
  <c r="P72" i="18"/>
  <c r="N90" i="18"/>
  <c r="P58" i="17"/>
  <c r="E63" i="17"/>
  <c r="O90" i="18" l="1"/>
  <c r="P73" i="18"/>
  <c r="D72" i="18"/>
  <c r="N8" i="19" s="1"/>
  <c r="E79" i="18"/>
  <c r="F77" i="18"/>
  <c r="F63" i="17"/>
  <c r="E65" i="17"/>
  <c r="P59" i="17"/>
  <c r="D59" i="17" s="1"/>
  <c r="D58" i="17"/>
  <c r="D73" i="18" l="1"/>
  <c r="F79" i="18"/>
  <c r="F80" i="18" s="1"/>
  <c r="G77" i="18"/>
  <c r="E80" i="18"/>
  <c r="P90" i="18"/>
  <c r="L7" i="19"/>
  <c r="E66" i="17"/>
  <c r="G63" i="17"/>
  <c r="F65" i="17"/>
  <c r="F66" i="17" s="1"/>
  <c r="G79" i="18" l="1"/>
  <c r="H77" i="18"/>
  <c r="E97" i="18"/>
  <c r="D90" i="18"/>
  <c r="Q4" i="19" s="1"/>
  <c r="L10" i="19"/>
  <c r="L9" i="19"/>
  <c r="H63" i="17"/>
  <c r="G65" i="17"/>
  <c r="G66" i="17" s="1"/>
  <c r="Q5" i="19" l="1"/>
  <c r="F97" i="18"/>
  <c r="H79" i="18"/>
  <c r="I77" i="18"/>
  <c r="G80" i="18"/>
  <c r="L12" i="19"/>
  <c r="K122" i="14" s="1"/>
  <c r="K120" i="14" s="1"/>
  <c r="H9" i="16"/>
  <c r="H65" i="17"/>
  <c r="H66" i="17" s="1"/>
  <c r="I63" i="17"/>
  <c r="H80" i="18" l="1"/>
  <c r="G97" i="18"/>
  <c r="I79" i="18"/>
  <c r="I80" i="18" s="1"/>
  <c r="J77" i="18"/>
  <c r="M7" i="16"/>
  <c r="H10" i="16"/>
  <c r="J63" i="17"/>
  <c r="I65" i="17"/>
  <c r="I66" i="17" s="1"/>
  <c r="J79" i="18" l="1"/>
  <c r="K77" i="18"/>
  <c r="M13" i="16"/>
  <c r="M12" i="16" s="1"/>
  <c r="N5" i="16"/>
  <c r="M8" i="16"/>
  <c r="H97" i="18"/>
  <c r="J65" i="17"/>
  <c r="J66" i="17" s="1"/>
  <c r="K63" i="17"/>
  <c r="J80" i="18" l="1"/>
  <c r="I97" i="18"/>
  <c r="K79" i="18"/>
  <c r="L77" i="18"/>
  <c r="L63" i="17"/>
  <c r="K65" i="17"/>
  <c r="K66" i="17" s="1"/>
  <c r="L79" i="18" l="1"/>
  <c r="L80" i="18" s="1"/>
  <c r="M77" i="18"/>
  <c r="K80" i="18"/>
  <c r="J97" i="18"/>
  <c r="M63" i="17"/>
  <c r="L65" i="17"/>
  <c r="L66" i="17" s="1"/>
  <c r="M79" i="18" l="1"/>
  <c r="M80" i="18" s="1"/>
  <c r="N77" i="18"/>
  <c r="K97" i="18"/>
  <c r="M65" i="17"/>
  <c r="M66" i="17" s="1"/>
  <c r="N63" i="17"/>
  <c r="L97" i="18" l="1"/>
  <c r="N79" i="18"/>
  <c r="N80" i="18" s="1"/>
  <c r="O77" i="18"/>
  <c r="O63" i="17"/>
  <c r="N65" i="17"/>
  <c r="N66" i="17" s="1"/>
  <c r="O79" i="18" l="1"/>
  <c r="O80" i="18" s="1"/>
  <c r="P77" i="18"/>
  <c r="M97" i="18"/>
  <c r="P63" i="17"/>
  <c r="O65" i="17"/>
  <c r="O66" i="17" s="1"/>
  <c r="N97" i="18" l="1"/>
  <c r="P79" i="18"/>
  <c r="E84" i="18"/>
  <c r="E70" i="17"/>
  <c r="P65" i="17"/>
  <c r="E86" i="18" l="1"/>
  <c r="F84" i="18"/>
  <c r="P80" i="18"/>
  <c r="D79" i="18"/>
  <c r="O8" i="19" s="1"/>
  <c r="O97" i="18"/>
  <c r="P66" i="17"/>
  <c r="D66" i="17" s="1"/>
  <c r="D65" i="17"/>
  <c r="F70" i="17"/>
  <c r="E72" i="17"/>
  <c r="D80" i="18" l="1"/>
  <c r="F86" i="18"/>
  <c r="F87" i="18" s="1"/>
  <c r="G84" i="18"/>
  <c r="O10" i="19"/>
  <c r="O9" i="19"/>
  <c r="P97" i="18"/>
  <c r="E87" i="18"/>
  <c r="E73" i="17"/>
  <c r="G70" i="17"/>
  <c r="F72" i="17"/>
  <c r="F73" i="17" s="1"/>
  <c r="M7" i="19"/>
  <c r="K9" i="16" l="1"/>
  <c r="K10" i="16" s="1"/>
  <c r="O12" i="19"/>
  <c r="G86" i="18"/>
  <c r="H84" i="18"/>
  <c r="D97" i="18"/>
  <c r="R4" i="19" s="1"/>
  <c r="E104" i="18"/>
  <c r="G72" i="17"/>
  <c r="G73" i="17" s="1"/>
  <c r="H70" i="17"/>
  <c r="M9" i="19"/>
  <c r="M10" i="19"/>
  <c r="H86" i="18" l="1"/>
  <c r="I84" i="18"/>
  <c r="G87" i="18"/>
  <c r="F104" i="18"/>
  <c r="R5" i="19"/>
  <c r="M12" i="19"/>
  <c r="L122" i="14" s="1"/>
  <c r="L120" i="14" s="1"/>
  <c r="L131" i="14" s="1"/>
  <c r="I9" i="16"/>
  <c r="L60" i="14"/>
  <c r="L125" i="14" s="1"/>
  <c r="H72" i="17"/>
  <c r="I70" i="17"/>
  <c r="H87" i="18" l="1"/>
  <c r="G104" i="18"/>
  <c r="N7" i="16"/>
  <c r="I86" i="18"/>
  <c r="I87" i="18" s="1"/>
  <c r="J84" i="18"/>
  <c r="L132" i="14"/>
  <c r="I10" i="16"/>
  <c r="I72" i="17"/>
  <c r="I73" i="17" s="1"/>
  <c r="J70" i="17"/>
  <c r="H73" i="17"/>
  <c r="H104" i="18" l="1"/>
  <c r="J86" i="18"/>
  <c r="K84" i="18"/>
  <c r="N13" i="16"/>
  <c r="N12" i="16" s="1"/>
  <c r="N8" i="16"/>
  <c r="O5" i="16"/>
  <c r="J72" i="17"/>
  <c r="K70" i="17"/>
  <c r="I104" i="18" l="1"/>
  <c r="K86" i="18"/>
  <c r="K87" i="18" s="1"/>
  <c r="L84" i="18"/>
  <c r="J87" i="18"/>
  <c r="L70" i="17"/>
  <c r="K72" i="17"/>
  <c r="K73" i="17" s="1"/>
  <c r="J73" i="17"/>
  <c r="J104" i="18" l="1"/>
  <c r="L86" i="18"/>
  <c r="L87" i="18" s="1"/>
  <c r="M84" i="18"/>
  <c r="M70" i="17"/>
  <c r="L72" i="17"/>
  <c r="K104" i="18" l="1"/>
  <c r="M86" i="18"/>
  <c r="M87" i="18" s="1"/>
  <c r="N84" i="18"/>
  <c r="L73" i="17"/>
  <c r="N70" i="17"/>
  <c r="M72" i="17"/>
  <c r="M73" i="17" s="1"/>
  <c r="N86" i="18" l="1"/>
  <c r="N87" i="18" s="1"/>
  <c r="O84" i="18"/>
  <c r="L104" i="18"/>
  <c r="O70" i="17"/>
  <c r="N72" i="17"/>
  <c r="N73" i="17" s="1"/>
  <c r="M104" i="18" l="1"/>
  <c r="O86" i="18"/>
  <c r="O87" i="18" s="1"/>
  <c r="P84" i="18"/>
  <c r="O72" i="17"/>
  <c r="O73" i="17" s="1"/>
  <c r="P70" i="17"/>
  <c r="N104" i="18" l="1"/>
  <c r="P86" i="18"/>
  <c r="E91" i="18"/>
  <c r="E77" i="17"/>
  <c r="P72" i="17"/>
  <c r="O104" i="18" l="1"/>
  <c r="E93" i="18"/>
  <c r="F91" i="18"/>
  <c r="P87" i="18"/>
  <c r="D86" i="18"/>
  <c r="P8" i="19" s="1"/>
  <c r="P73" i="17"/>
  <c r="D73" i="17" s="1"/>
  <c r="D72" i="17"/>
  <c r="E79" i="17"/>
  <c r="F77" i="17"/>
  <c r="D87" i="18" l="1"/>
  <c r="P104" i="18"/>
  <c r="F93" i="18"/>
  <c r="F94" i="18" s="1"/>
  <c r="G91" i="18"/>
  <c r="E94" i="18"/>
  <c r="P9" i="19"/>
  <c r="P10" i="19"/>
  <c r="F79" i="17"/>
  <c r="F80" i="17" s="1"/>
  <c r="G77" i="17"/>
  <c r="E80" i="17"/>
  <c r="N7" i="19"/>
  <c r="G93" i="18" l="1"/>
  <c r="G94" i="18" s="1"/>
  <c r="H91" i="18"/>
  <c r="P12" i="19"/>
  <c r="L9" i="16"/>
  <c r="L10" i="16" s="1"/>
  <c r="E111" i="18"/>
  <c r="D104" i="18"/>
  <c r="S4" i="19" s="1"/>
  <c r="H77" i="17"/>
  <c r="G79" i="17"/>
  <c r="N9" i="19"/>
  <c r="N10" i="19"/>
  <c r="S5" i="19" l="1"/>
  <c r="H93" i="18"/>
  <c r="H94" i="18" s="1"/>
  <c r="I91" i="18"/>
  <c r="F111" i="18"/>
  <c r="N12" i="19"/>
  <c r="J9" i="16"/>
  <c r="G80" i="17"/>
  <c r="H79" i="17"/>
  <c r="H80" i="17" s="1"/>
  <c r="I77" i="17"/>
  <c r="G111" i="18" l="1"/>
  <c r="I93" i="18"/>
  <c r="I94" i="18" s="1"/>
  <c r="J91" i="18"/>
  <c r="O7" i="16"/>
  <c r="J10" i="16"/>
  <c r="I79" i="17"/>
  <c r="I80" i="17" s="1"/>
  <c r="J77" i="17"/>
  <c r="O13" i="16" l="1"/>
  <c r="O12" i="16" s="1"/>
  <c r="P5" i="16"/>
  <c r="O8" i="16"/>
  <c r="J93" i="18"/>
  <c r="J94" i="18" s="1"/>
  <c r="K91" i="18"/>
  <c r="H111" i="18"/>
  <c r="K77" i="17"/>
  <c r="J79" i="17"/>
  <c r="K93" i="18" l="1"/>
  <c r="K94" i="18" s="1"/>
  <c r="L91" i="18"/>
  <c r="I111" i="18"/>
  <c r="J80" i="17"/>
  <c r="L77" i="17"/>
  <c r="K79" i="17"/>
  <c r="K80" i="17" s="1"/>
  <c r="J111" i="18" l="1"/>
  <c r="L93" i="18"/>
  <c r="L94" i="18" s="1"/>
  <c r="M91" i="18"/>
  <c r="M77" i="17"/>
  <c r="L79" i="17"/>
  <c r="L80" i="17" s="1"/>
  <c r="M93" i="18" l="1"/>
  <c r="M94" i="18" s="1"/>
  <c r="N91" i="18"/>
  <c r="K111" i="18"/>
  <c r="N77" i="17"/>
  <c r="M79" i="17"/>
  <c r="M80" i="17" s="1"/>
  <c r="L111" i="18" l="1"/>
  <c r="N93" i="18"/>
  <c r="N94" i="18" s="1"/>
  <c r="O91" i="18"/>
  <c r="N79" i="17"/>
  <c r="N80" i="17" s="1"/>
  <c r="O77" i="17"/>
  <c r="M111" i="18" l="1"/>
  <c r="O93" i="18"/>
  <c r="O94" i="18" s="1"/>
  <c r="P91" i="18"/>
  <c r="P77" i="17"/>
  <c r="O79" i="17"/>
  <c r="O80" i="17" s="1"/>
  <c r="N111" i="18" l="1"/>
  <c r="P93" i="18"/>
  <c r="E98" i="18"/>
  <c r="P79" i="17"/>
  <c r="E84" i="17"/>
  <c r="O111" i="18" l="1"/>
  <c r="E100" i="18"/>
  <c r="F98" i="18"/>
  <c r="P94" i="18"/>
  <c r="D93" i="18"/>
  <c r="Q8" i="19" s="1"/>
  <c r="E86" i="17"/>
  <c r="F84" i="17"/>
  <c r="P80" i="17"/>
  <c r="D80" i="17" s="1"/>
  <c r="D79" i="17"/>
  <c r="D94" i="18" l="1"/>
  <c r="F100" i="18"/>
  <c r="F101" i="18" s="1"/>
  <c r="G98" i="18"/>
  <c r="E101" i="18"/>
  <c r="Q9" i="19"/>
  <c r="Q10" i="19"/>
  <c r="P111" i="18"/>
  <c r="G84" i="17"/>
  <c r="F86" i="17"/>
  <c r="F87" i="17" s="1"/>
  <c r="E87" i="17"/>
  <c r="E118" i="18" l="1"/>
  <c r="D111" i="18"/>
  <c r="T4" i="19" s="1"/>
  <c r="G100" i="18"/>
  <c r="H98" i="18"/>
  <c r="Q12" i="19"/>
  <c r="M9" i="16"/>
  <c r="M10" i="16" s="1"/>
  <c r="G86" i="17"/>
  <c r="H84" i="17"/>
  <c r="H100" i="18" l="1"/>
  <c r="H101" i="18" s="1"/>
  <c r="I98" i="18"/>
  <c r="F118" i="18"/>
  <c r="G101" i="18"/>
  <c r="T5" i="19"/>
  <c r="H86" i="17"/>
  <c r="H87" i="17" s="1"/>
  <c r="I84" i="17"/>
  <c r="G87" i="17"/>
  <c r="P7" i="16" l="1"/>
  <c r="G118" i="18"/>
  <c r="I100" i="18"/>
  <c r="J98" i="18"/>
  <c r="I86" i="17"/>
  <c r="J84" i="17"/>
  <c r="H118" i="18" l="1"/>
  <c r="J100" i="18"/>
  <c r="J101" i="18" s="1"/>
  <c r="K98" i="18"/>
  <c r="P13" i="16"/>
  <c r="P12" i="16" s="1"/>
  <c r="P8" i="16"/>
  <c r="Q5" i="16"/>
  <c r="I101" i="18"/>
  <c r="K84" i="17"/>
  <c r="J86" i="17"/>
  <c r="J87" i="17" s="1"/>
  <c r="I87" i="17"/>
  <c r="K100" i="18" l="1"/>
  <c r="K101" i="18" s="1"/>
  <c r="L98" i="18"/>
  <c r="I118" i="18"/>
  <c r="K86" i="17"/>
  <c r="L84" i="17"/>
  <c r="L100" i="18" l="1"/>
  <c r="L101" i="18" s="1"/>
  <c r="M98" i="18"/>
  <c r="J118" i="18"/>
  <c r="M84" i="17"/>
  <c r="L86" i="17"/>
  <c r="L87" i="17" s="1"/>
  <c r="K87" i="17"/>
  <c r="M100" i="18" l="1"/>
  <c r="M101" i="18" s="1"/>
  <c r="N98" i="18"/>
  <c r="K118" i="18"/>
  <c r="M86" i="17"/>
  <c r="N84" i="17"/>
  <c r="L118" i="18" l="1"/>
  <c r="N100" i="18"/>
  <c r="N101" i="18" s="1"/>
  <c r="O98" i="18"/>
  <c r="O84" i="17"/>
  <c r="N86" i="17"/>
  <c r="N87" i="17" s="1"/>
  <c r="M87" i="17"/>
  <c r="O100" i="18" l="1"/>
  <c r="O101" i="18" s="1"/>
  <c r="P98" i="18"/>
  <c r="M118" i="18"/>
  <c r="P84" i="17"/>
  <c r="O86" i="17"/>
  <c r="O87" i="17" s="1"/>
  <c r="N118" i="18" l="1"/>
  <c r="P100" i="18"/>
  <c r="E105" i="18"/>
  <c r="E91" i="17"/>
  <c r="P86" i="17"/>
  <c r="E107" i="18" l="1"/>
  <c r="F105" i="18"/>
  <c r="P101" i="18"/>
  <c r="D100" i="18"/>
  <c r="R8" i="19" s="1"/>
  <c r="O118" i="18"/>
  <c r="P87" i="17"/>
  <c r="D87" i="17" s="1"/>
  <c r="D86" i="17"/>
  <c r="F91" i="17"/>
  <c r="E93" i="17"/>
  <c r="D101" i="18" l="1"/>
  <c r="R9" i="19"/>
  <c r="R10" i="19"/>
  <c r="F107" i="18"/>
  <c r="F108" i="18" s="1"/>
  <c r="G105" i="18"/>
  <c r="P118" i="18"/>
  <c r="E108" i="18"/>
  <c r="G91" i="17"/>
  <c r="F93" i="17"/>
  <c r="F94" i="17" s="1"/>
  <c r="E94" i="17"/>
  <c r="E125" i="18" l="1"/>
  <c r="D118" i="18"/>
  <c r="G107" i="18"/>
  <c r="G108" i="18" s="1"/>
  <c r="H105" i="18"/>
  <c r="R12" i="19"/>
  <c r="N9" i="16"/>
  <c r="N10" i="16" s="1"/>
  <c r="H91" i="17"/>
  <c r="G93" i="17"/>
  <c r="H107" i="18" l="1"/>
  <c r="I105" i="18"/>
  <c r="U4" i="19"/>
  <c r="F125" i="18"/>
  <c r="G94" i="17"/>
  <c r="H93" i="17"/>
  <c r="H94" i="17" s="1"/>
  <c r="I91" i="17"/>
  <c r="U5" i="19" l="1"/>
  <c r="Q7" i="16" s="1"/>
  <c r="I107" i="18"/>
  <c r="I108" i="18" s="1"/>
  <c r="J105" i="18"/>
  <c r="G125" i="18"/>
  <c r="H108" i="18"/>
  <c r="I93" i="17"/>
  <c r="I94" i="17" s="1"/>
  <c r="J91" i="17"/>
  <c r="J107" i="18" l="1"/>
  <c r="K105" i="18"/>
  <c r="H125" i="18"/>
  <c r="Q13" i="16"/>
  <c r="Q12" i="16" s="1"/>
  <c r="Q8" i="16"/>
  <c r="R5" i="16"/>
  <c r="J93" i="17"/>
  <c r="K91" i="17"/>
  <c r="I125" i="18" l="1"/>
  <c r="K107" i="18"/>
  <c r="K108" i="18" s="1"/>
  <c r="L105" i="18"/>
  <c r="J108" i="18"/>
  <c r="L91" i="17"/>
  <c r="K93" i="17"/>
  <c r="K94" i="17" s="1"/>
  <c r="J94" i="17"/>
  <c r="J125" i="18" l="1"/>
  <c r="L107" i="18"/>
  <c r="M105" i="18"/>
  <c r="M91" i="17"/>
  <c r="L93" i="17"/>
  <c r="M107" i="18" l="1"/>
  <c r="M108" i="18" s="1"/>
  <c r="N105" i="18"/>
  <c r="L108" i="18"/>
  <c r="K125" i="18"/>
  <c r="L94" i="17"/>
  <c r="N91" i="17"/>
  <c r="M93" i="17"/>
  <c r="M94" i="17" s="1"/>
  <c r="N107" i="18" l="1"/>
  <c r="N108" i="18" s="1"/>
  <c r="O105" i="18"/>
  <c r="L125" i="18"/>
  <c r="N93" i="17"/>
  <c r="N94" i="17" s="1"/>
  <c r="O91" i="17"/>
  <c r="M125" i="18" l="1"/>
  <c r="O107" i="18"/>
  <c r="O108" i="18" s="1"/>
  <c r="P105" i="18"/>
  <c r="P91" i="17"/>
  <c r="O93" i="17"/>
  <c r="O94" i="17" s="1"/>
  <c r="P107" i="18" l="1"/>
  <c r="E112" i="18"/>
  <c r="N125" i="18"/>
  <c r="P93" i="17"/>
  <c r="E98" i="17"/>
  <c r="O125" i="18" l="1"/>
  <c r="E114" i="18"/>
  <c r="F112" i="18"/>
  <c r="P108" i="18"/>
  <c r="D107" i="18"/>
  <c r="P94" i="17"/>
  <c r="D94" i="17" s="1"/>
  <c r="D93" i="17"/>
  <c r="E100" i="17"/>
  <c r="F98" i="17"/>
  <c r="D108" i="18" l="1"/>
  <c r="E115" i="18"/>
  <c r="F114" i="18"/>
  <c r="F115" i="18" s="1"/>
  <c r="G112" i="18"/>
  <c r="S8" i="19"/>
  <c r="P125" i="18"/>
  <c r="F100" i="17"/>
  <c r="F101" i="17" s="1"/>
  <c r="G98" i="17"/>
  <c r="E101" i="17"/>
  <c r="G114" i="18" l="1"/>
  <c r="H112" i="18"/>
  <c r="D125" i="18"/>
  <c r="S9" i="19"/>
  <c r="S10" i="19"/>
  <c r="H98" i="17"/>
  <c r="G100" i="17"/>
  <c r="I119" i="14"/>
  <c r="J119" i="14"/>
  <c r="I113" i="14"/>
  <c r="I75" i="14" s="1"/>
  <c r="I131" i="14" s="1"/>
  <c r="I146" i="14" s="1"/>
  <c r="I143" i="14" s="1"/>
  <c r="K113" i="14"/>
  <c r="K75" i="14" s="1"/>
  <c r="K131" i="14" s="1"/>
  <c r="J113" i="14"/>
  <c r="J75" i="14" s="1"/>
  <c r="J131" i="14" s="1"/>
  <c r="V4" i="19" l="1"/>
  <c r="D6" i="18"/>
  <c r="H114" i="18"/>
  <c r="H115" i="18" s="1"/>
  <c r="I112" i="18"/>
  <c r="S12" i="19"/>
  <c r="O9" i="16"/>
  <c r="O10" i="16" s="1"/>
  <c r="G115" i="18"/>
  <c r="G101" i="17"/>
  <c r="I98" i="17"/>
  <c r="H100" i="17"/>
  <c r="H101" i="17" s="1"/>
  <c r="J132" i="14"/>
  <c r="I132" i="14"/>
  <c r="K132" i="14"/>
  <c r="I114" i="18" l="1"/>
  <c r="J112" i="18"/>
  <c r="V5" i="19"/>
  <c r="E4" i="19"/>
  <c r="E12" i="19" s="1"/>
  <c r="J98" i="17"/>
  <c r="I100" i="17"/>
  <c r="I101" i="17" s="1"/>
  <c r="J142" i="14"/>
  <c r="J145" i="14" s="1"/>
  <c r="J146" i="14" s="1"/>
  <c r="J143" i="14" s="1"/>
  <c r="K142" i="14" s="1"/>
  <c r="I144" i="14"/>
  <c r="R7" i="16" l="1"/>
  <c r="E5" i="19"/>
  <c r="J114" i="18"/>
  <c r="J115" i="18" s="1"/>
  <c r="K112" i="18"/>
  <c r="I115" i="18"/>
  <c r="J100" i="17"/>
  <c r="J101" i="17" s="1"/>
  <c r="K98" i="17"/>
  <c r="K145" i="14"/>
  <c r="K146" i="14" s="1"/>
  <c r="K134" i="14"/>
  <c r="I135" i="14"/>
  <c r="I136" i="14" s="1"/>
  <c r="I147" i="14"/>
  <c r="I3" i="14" s="1"/>
  <c r="I1" i="14" s="1"/>
  <c r="K114" i="18" l="1"/>
  <c r="K115" i="18" s="1"/>
  <c r="L112" i="18"/>
  <c r="R13" i="16"/>
  <c r="R12" i="16" s="1"/>
  <c r="S7" i="16"/>
  <c r="S13" i="16" s="1"/>
  <c r="S12" i="16" s="1"/>
  <c r="R8" i="16"/>
  <c r="K100" i="17"/>
  <c r="K101" i="17" s="1"/>
  <c r="L98" i="17"/>
  <c r="J134" i="14"/>
  <c r="L114" i="18" l="1"/>
  <c r="M112" i="18"/>
  <c r="M98" i="17"/>
  <c r="L100" i="17"/>
  <c r="L101" i="17" s="1"/>
  <c r="J135" i="14"/>
  <c r="J136" i="14" s="1"/>
  <c r="J147" i="14"/>
  <c r="J3" i="14" s="1"/>
  <c r="J1" i="14" s="1"/>
  <c r="J144" i="14"/>
  <c r="M114" i="18" l="1"/>
  <c r="M115" i="18" s="1"/>
  <c r="N112" i="18"/>
  <c r="L115" i="18"/>
  <c r="M100" i="17"/>
  <c r="M101" i="17" s="1"/>
  <c r="N98" i="17"/>
  <c r="K143" i="14"/>
  <c r="L142" i="14" s="1"/>
  <c r="L145" i="14" s="1"/>
  <c r="L146" i="14" s="1"/>
  <c r="L143" i="14" s="1"/>
  <c r="K144" i="14"/>
  <c r="N114" i="18" l="1"/>
  <c r="N115" i="18" s="1"/>
  <c r="O112" i="18"/>
  <c r="N100" i="17"/>
  <c r="N101" i="17" s="1"/>
  <c r="O98" i="17"/>
  <c r="K135" i="14"/>
  <c r="K136" i="14" s="1"/>
  <c r="K147" i="14"/>
  <c r="K3" i="14" s="1"/>
  <c r="K1" i="14" s="1"/>
  <c r="L144" i="14"/>
  <c r="L134" i="14"/>
  <c r="O114" i="18" l="1"/>
  <c r="O115" i="18" s="1"/>
  <c r="P112" i="18"/>
  <c r="O100" i="17"/>
  <c r="O101" i="17" s="1"/>
  <c r="P98" i="17"/>
  <c r="L147" i="14"/>
  <c r="L3" i="14" s="1"/>
  <c r="L1" i="14" s="1"/>
  <c r="L135" i="14"/>
  <c r="L136" i="14" s="1"/>
  <c r="P114" i="18" l="1"/>
  <c r="E119" i="18"/>
  <c r="E105" i="17"/>
  <c r="P100" i="17"/>
  <c r="E121" i="18" l="1"/>
  <c r="F119" i="18"/>
  <c r="P115" i="18"/>
  <c r="D114" i="18"/>
  <c r="P101" i="17"/>
  <c r="D101" i="17" s="1"/>
  <c r="D100" i="17"/>
  <c r="E107" i="17"/>
  <c r="F105" i="17"/>
  <c r="D115" i="18" l="1"/>
  <c r="T8" i="19"/>
  <c r="F121" i="18"/>
  <c r="F122" i="18" s="1"/>
  <c r="G119" i="18"/>
  <c r="E122" i="18"/>
  <c r="G105" i="17"/>
  <c r="F107" i="17"/>
  <c r="F108" i="17" s="1"/>
  <c r="E108" i="17"/>
  <c r="G121" i="18" l="1"/>
  <c r="G122" i="18" s="1"/>
  <c r="H119" i="18"/>
  <c r="T9" i="19"/>
  <c r="T10" i="19"/>
  <c r="G107" i="17"/>
  <c r="H105" i="17"/>
  <c r="T12" i="19" l="1"/>
  <c r="P9" i="16"/>
  <c r="P10" i="16" s="1"/>
  <c r="H121" i="18"/>
  <c r="I119" i="18"/>
  <c r="H107" i="17"/>
  <c r="H108" i="17" s="1"/>
  <c r="I105" i="17"/>
  <c r="G108" i="17"/>
  <c r="I121" i="18" l="1"/>
  <c r="I122" i="18" s="1"/>
  <c r="J119" i="18"/>
  <c r="H122" i="18"/>
  <c r="I107" i="17"/>
  <c r="J105" i="17"/>
  <c r="J121" i="18" l="1"/>
  <c r="K119" i="18"/>
  <c r="K105" i="17"/>
  <c r="J107" i="17"/>
  <c r="J108" i="17" s="1"/>
  <c r="I108" i="17"/>
  <c r="K121" i="18" l="1"/>
  <c r="K122" i="18" s="1"/>
  <c r="L119" i="18"/>
  <c r="J122" i="18"/>
  <c r="L105" i="17"/>
  <c r="K107" i="17"/>
  <c r="L121" i="18" l="1"/>
  <c r="M119" i="18"/>
  <c r="K108" i="17"/>
  <c r="L107" i="17"/>
  <c r="L108" i="17" s="1"/>
  <c r="M105" i="17"/>
  <c r="M121" i="18" l="1"/>
  <c r="M122" i="18" s="1"/>
  <c r="N119" i="18"/>
  <c r="L122" i="18"/>
  <c r="M107" i="17"/>
  <c r="N105" i="17"/>
  <c r="N121" i="18" l="1"/>
  <c r="N122" i="18" s="1"/>
  <c r="O119" i="18"/>
  <c r="O105" i="17"/>
  <c r="N107" i="17"/>
  <c r="N108" i="17" s="1"/>
  <c r="M108" i="17"/>
  <c r="O121" i="18" l="1"/>
  <c r="O122" i="18" s="1"/>
  <c r="P119" i="18"/>
  <c r="O107" i="17"/>
  <c r="O108" i="17" s="1"/>
  <c r="P105" i="17"/>
  <c r="P121" i="18" l="1"/>
  <c r="E126" i="18"/>
  <c r="P107" i="17"/>
  <c r="E112" i="17"/>
  <c r="E128" i="18" l="1"/>
  <c r="F126" i="18"/>
  <c r="P122" i="18"/>
  <c r="D121" i="18"/>
  <c r="E114" i="17"/>
  <c r="F112" i="17"/>
  <c r="P108" i="17"/>
  <c r="D108" i="17" s="1"/>
  <c r="D107" i="17"/>
  <c r="D122" i="18" l="1"/>
  <c r="U8" i="19"/>
  <c r="F128" i="18"/>
  <c r="F129" i="18" s="1"/>
  <c r="G126" i="18"/>
  <c r="E129" i="18"/>
  <c r="F114" i="17"/>
  <c r="F115" i="17" s="1"/>
  <c r="G112" i="17"/>
  <c r="E115" i="17"/>
  <c r="G128" i="18" l="1"/>
  <c r="H126" i="18"/>
  <c r="U9" i="19"/>
  <c r="U10" i="19"/>
  <c r="G114" i="17"/>
  <c r="H112" i="17"/>
  <c r="U12" i="19" l="1"/>
  <c r="Q9" i="16"/>
  <c r="Q10" i="16" s="1"/>
  <c r="H128" i="18"/>
  <c r="H129" i="18" s="1"/>
  <c r="I126" i="18"/>
  <c r="G129" i="18"/>
  <c r="H114" i="17"/>
  <c r="H115" i="17" s="1"/>
  <c r="I112" i="17"/>
  <c r="G115" i="17"/>
  <c r="I128" i="18" l="1"/>
  <c r="J126" i="18"/>
  <c r="I114" i="17"/>
  <c r="J112" i="17"/>
  <c r="J128" i="18" l="1"/>
  <c r="J129" i="18" s="1"/>
  <c r="K126" i="18"/>
  <c r="I129" i="18"/>
  <c r="J114" i="17"/>
  <c r="J115" i="17" s="1"/>
  <c r="K112" i="17"/>
  <c r="I115" i="17"/>
  <c r="K128" i="18" l="1"/>
  <c r="L126" i="18"/>
  <c r="K114" i="17"/>
  <c r="K115" i="17" s="1"/>
  <c r="L112" i="17"/>
  <c r="L128" i="18" l="1"/>
  <c r="L129" i="18" s="1"/>
  <c r="M126" i="18"/>
  <c r="K129" i="18"/>
  <c r="M112" i="17"/>
  <c r="L114" i="17"/>
  <c r="M128" i="18" l="1"/>
  <c r="N126" i="18"/>
  <c r="L115" i="17"/>
  <c r="M114" i="17"/>
  <c r="M115" i="17" s="1"/>
  <c r="N112" i="17"/>
  <c r="N128" i="18" l="1"/>
  <c r="N129" i="18" s="1"/>
  <c r="O126" i="18"/>
  <c r="M129" i="18"/>
  <c r="N114" i="17"/>
  <c r="N115" i="17" s="1"/>
  <c r="O112" i="17"/>
  <c r="O128" i="18" l="1"/>
  <c r="O129" i="18" s="1"/>
  <c r="P126" i="18"/>
  <c r="O114" i="17"/>
  <c r="O115" i="17" s="1"/>
  <c r="P112" i="17"/>
  <c r="P128" i="18" l="1"/>
  <c r="P129" i="18" s="1"/>
  <c r="E119" i="17"/>
  <c r="P114" i="17"/>
  <c r="D128" i="18" l="1"/>
  <c r="D129" i="18"/>
  <c r="V8" i="19"/>
  <c r="D8" i="18"/>
  <c r="P115" i="17"/>
  <c r="D115" i="17" s="1"/>
  <c r="D114" i="17"/>
  <c r="E121" i="17"/>
  <c r="F119" i="17"/>
  <c r="V9" i="19" l="1"/>
  <c r="V10" i="19"/>
  <c r="G119" i="17"/>
  <c r="F121" i="17"/>
  <c r="F122" i="17" s="1"/>
  <c r="E122" i="17"/>
  <c r="V12" i="19" l="1"/>
  <c r="R9" i="16"/>
  <c r="G121" i="17"/>
  <c r="H119" i="17"/>
  <c r="S9" i="16" l="1"/>
  <c r="R10" i="16"/>
  <c r="S10" i="16" s="1"/>
  <c r="H121" i="17"/>
  <c r="H122" i="17" s="1"/>
  <c r="I119" i="17"/>
  <c r="G122" i="17"/>
  <c r="I121" i="17" l="1"/>
  <c r="J119" i="17"/>
  <c r="J121" i="17" l="1"/>
  <c r="J122" i="17" s="1"/>
  <c r="K119" i="17"/>
  <c r="I122" i="17"/>
  <c r="K121" i="17" l="1"/>
  <c r="L119" i="17"/>
  <c r="L121" i="17" l="1"/>
  <c r="L122" i="17" s="1"/>
  <c r="M119" i="17"/>
  <c r="K122" i="17"/>
  <c r="M121" i="17" l="1"/>
  <c r="N119" i="17"/>
  <c r="M122" i="17" l="1"/>
  <c r="O119" i="17"/>
  <c r="N121" i="17"/>
  <c r="N122" i="17" s="1"/>
  <c r="O121" i="17" l="1"/>
  <c r="O122" i="17" s="1"/>
  <c r="P119" i="17"/>
  <c r="P121" i="17" s="1"/>
  <c r="P122" i="17" l="1"/>
  <c r="D122" i="17" s="1"/>
  <c r="D8" i="17" s="1"/>
  <c r="D121" i="17"/>
</calcChain>
</file>

<file path=xl/sharedStrings.xml><?xml version="1.0" encoding="utf-8"?>
<sst xmlns="http://schemas.openxmlformats.org/spreadsheetml/2006/main" count="1229" uniqueCount="283">
  <si>
    <t>№ п/п</t>
  </si>
  <si>
    <t>Ед. изм.</t>
  </si>
  <si>
    <t>Статьи затрат</t>
  </si>
  <si>
    <t>2.1.</t>
  </si>
  <si>
    <t>2.2.</t>
  </si>
  <si>
    <t>2.3.</t>
  </si>
  <si>
    <t>2.4.</t>
  </si>
  <si>
    <t xml:space="preserve">Арендная плата  </t>
  </si>
  <si>
    <t>2.5.</t>
  </si>
  <si>
    <t>Отчисления на социальные нужды</t>
  </si>
  <si>
    <t xml:space="preserve">Налог на прибыль </t>
  </si>
  <si>
    <t xml:space="preserve">Неподконтрольные расходы </t>
  </si>
  <si>
    <t>3.1.</t>
  </si>
  <si>
    <t>3.1.1.</t>
  </si>
  <si>
    <t>Затраты на газ</t>
  </si>
  <si>
    <t>3.1.2.</t>
  </si>
  <si>
    <t>3.2.</t>
  </si>
  <si>
    <t>3.3.</t>
  </si>
  <si>
    <t>3.4.</t>
  </si>
  <si>
    <t>4.</t>
  </si>
  <si>
    <t>Прибыль</t>
  </si>
  <si>
    <t>4.1.</t>
  </si>
  <si>
    <t>Тариф на тепловую энергию (среднегодовой)</t>
  </si>
  <si>
    <t>Итого необходимая валовая выручка (НВВ)</t>
  </si>
  <si>
    <t>%</t>
  </si>
  <si>
    <t>5.</t>
  </si>
  <si>
    <t>Операционные расходы ОР</t>
  </si>
  <si>
    <t>6.</t>
  </si>
  <si>
    <t>7.</t>
  </si>
  <si>
    <t>8.</t>
  </si>
  <si>
    <t>9.</t>
  </si>
  <si>
    <t xml:space="preserve">Расчетная предпринимательская прибыль </t>
  </si>
  <si>
    <t>Затраты на нефть</t>
  </si>
  <si>
    <t>Индекс эффективности операционных расходов (ИР)</t>
  </si>
  <si>
    <t>4.2.</t>
  </si>
  <si>
    <t>4.3.</t>
  </si>
  <si>
    <t>руб./Гкал, без НДС</t>
  </si>
  <si>
    <t>Среднегодовой рост тарифов</t>
  </si>
  <si>
    <t>Тариф 1 полугодия</t>
  </si>
  <si>
    <t>Тариф 2 полугодия</t>
  </si>
  <si>
    <t>Изменение к предыдущему периоду</t>
  </si>
  <si>
    <t>Расходы на оплату услуг, оказываемых организациями, осуществляющими регулируемые виды деятельности</t>
  </si>
  <si>
    <t>2.2.1.</t>
  </si>
  <si>
    <t>налог на имущество</t>
  </si>
  <si>
    <t>Концессионная плата</t>
  </si>
  <si>
    <t xml:space="preserve">Расходы по сомнительным долгам </t>
  </si>
  <si>
    <t>2.6.</t>
  </si>
  <si>
    <t>2.7.</t>
  </si>
  <si>
    <t>2.7.1.</t>
  </si>
  <si>
    <t>2.8.</t>
  </si>
  <si>
    <t>Расходы на выплаты по договорам займа и кредитным договорам, включая проценты по ним</t>
  </si>
  <si>
    <t>2.9.</t>
  </si>
  <si>
    <t>2.10.</t>
  </si>
  <si>
    <t>3.1.1.1.</t>
  </si>
  <si>
    <t xml:space="preserve">КПД </t>
  </si>
  <si>
    <t>3.1.1.2.</t>
  </si>
  <si>
    <t>НУР топлива от выработки</t>
  </si>
  <si>
    <t>3.1.1.3.</t>
  </si>
  <si>
    <t>НУР топлива от отпуска в сеть (газ)</t>
  </si>
  <si>
    <t>3.1.1.3.1</t>
  </si>
  <si>
    <t>Теплота сгорания топлива</t>
  </si>
  <si>
    <t>3.1.1.4.</t>
  </si>
  <si>
    <t>Переводной коэффициент</t>
  </si>
  <si>
    <t>3.1.1.5.</t>
  </si>
  <si>
    <t>3.1.1.6.</t>
  </si>
  <si>
    <t xml:space="preserve">НУР топлива от отпуска в сеть </t>
  </si>
  <si>
    <t>3.1.1.7.</t>
  </si>
  <si>
    <t>Цена топлива</t>
  </si>
  <si>
    <t>3.1.1.7.1.</t>
  </si>
  <si>
    <t xml:space="preserve">топливо </t>
  </si>
  <si>
    <t>3.1.1.7.2.</t>
  </si>
  <si>
    <t>транспортировка</t>
  </si>
  <si>
    <t>3.1.1.8.</t>
  </si>
  <si>
    <t>Объем топлива</t>
  </si>
  <si>
    <t>НУР топлива от отпуска в сеть</t>
  </si>
  <si>
    <t>3.2.1.</t>
  </si>
  <si>
    <t>Затраты на э/э</t>
  </si>
  <si>
    <t>3.2.1.1</t>
  </si>
  <si>
    <t xml:space="preserve">НУР э/э </t>
  </si>
  <si>
    <t>3.2.1.2</t>
  </si>
  <si>
    <t>Цена э/э</t>
  </si>
  <si>
    <t>3.2.1.3</t>
  </si>
  <si>
    <t xml:space="preserve">Объем э/э </t>
  </si>
  <si>
    <t>3.2.2.</t>
  </si>
  <si>
    <t>Электрическая энергия для прочих нужд</t>
  </si>
  <si>
    <t>3.3.1.</t>
  </si>
  <si>
    <t xml:space="preserve">Затраты на воду </t>
  </si>
  <si>
    <t>3.3.2.</t>
  </si>
  <si>
    <t xml:space="preserve">НУР воды </t>
  </si>
  <si>
    <t>3.3.3.</t>
  </si>
  <si>
    <t>Цена воды</t>
  </si>
  <si>
    <t>3.3.4.</t>
  </si>
  <si>
    <t>Расход воды (объем)</t>
  </si>
  <si>
    <t>3.4.1.</t>
  </si>
  <si>
    <t xml:space="preserve">Цена </t>
  </si>
  <si>
    <t>3.4.2.</t>
  </si>
  <si>
    <t xml:space="preserve">Объем </t>
  </si>
  <si>
    <t>ккал/кг</t>
  </si>
  <si>
    <t>м3/Гкал</t>
  </si>
  <si>
    <t>руб/ т. м3</t>
  </si>
  <si>
    <t>тыс. м3</t>
  </si>
  <si>
    <t>кВтч/Гкал</t>
  </si>
  <si>
    <t>тыс. Гкал</t>
  </si>
  <si>
    <t>руб/ т</t>
  </si>
  <si>
    <t>тыс. т</t>
  </si>
  <si>
    <t>тыс. руб.</t>
  </si>
  <si>
    <t>тыс. кВтч</t>
  </si>
  <si>
    <t>руб./Гкал</t>
  </si>
  <si>
    <t>кг у.т./ Гкал.</t>
  </si>
  <si>
    <t>руб./кВтч</t>
  </si>
  <si>
    <t>руб./м3</t>
  </si>
  <si>
    <t>Результаты деятельности до перехода к регулированию цен (тарифов) на основе долгосрочных параметров регулирования</t>
  </si>
  <si>
    <t>10.</t>
  </si>
  <si>
    <t>11.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</si>
  <si>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</si>
  <si>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2.11.</t>
  </si>
  <si>
    <t>Экономия, определенная в прошедшем долгосрочном периоде регулирования и подлежащая учету в текущем долгосрочном периоде регулирования</t>
  </si>
  <si>
    <t>Расходы на капитальные вложения (инвестиции), определяемые в соответствии с инвестиционными программами</t>
  </si>
  <si>
    <t>Расходы на погашение и обслуживание заемных средств, привлекаемых на реализацию мероприятий инвестиционной программы</t>
  </si>
  <si>
    <t>4.4.</t>
  </si>
  <si>
    <t>Прочие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</si>
  <si>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</si>
  <si>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Корректировка необходимой валовой выручки с учетом степени исполнения регулируемой организацией обязательств по созданию и (или) реконструкции объекта концессионного соглашения или по реализации инвестиционной программы в случае недостижения регулируемой организацией плановых значений показателей надежности объектов теплоснабжения</t>
  </si>
  <si>
    <t>Корректировка НВВ в связи с изменением (неисполнением) инвестиционной программы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</si>
  <si>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</si>
  <si>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12.</t>
  </si>
  <si>
    <t>12.1.</t>
  </si>
  <si>
    <t>12.2.</t>
  </si>
  <si>
    <t>Раздел 2. Параметры для расчета расходов (индексы)</t>
  </si>
  <si>
    <t>Раздел 3. Калькуляция</t>
  </si>
  <si>
    <t>Раздел 1. Баланс тепловой энергии</t>
  </si>
  <si>
    <t>Потери т/э в сетях</t>
  </si>
  <si>
    <t>Собственные нужды котельной</t>
  </si>
  <si>
    <t>Отпуск т/э, поставляемой с коллекторов источника т/э (котельных)</t>
  </si>
  <si>
    <t>Покупная т/э</t>
  </si>
  <si>
    <t>Выработано тепловой энергии (далее - т/э)</t>
  </si>
  <si>
    <t>Расход ТЭ на хозяйственные нужды</t>
  </si>
  <si>
    <t>Отпуск т/э от источника т/э (полезный отпуск) - отпуск в сеть</t>
  </si>
  <si>
    <t>Отпуск т/э из тепловой сети (полезный отпуск), всего</t>
  </si>
  <si>
    <t>тыс.Гкал</t>
  </si>
  <si>
    <t>то же в % от выработки</t>
  </si>
  <si>
    <t>то же в % от отпуска в сеть</t>
  </si>
  <si>
    <t>Период реализации ИП</t>
  </si>
  <si>
    <t>Год, следующий за последним годом реализации ИП</t>
  </si>
  <si>
    <t>Расходы на уплату налогов, сборов и других обязательных платежей всего, в том числе:</t>
  </si>
  <si>
    <t>1.1.</t>
  </si>
  <si>
    <t>Расходы на приобретение сырья и материалов</t>
  </si>
  <si>
    <t>1.2.</t>
  </si>
  <si>
    <t>Расходы на ремонт основных средств</t>
  </si>
  <si>
    <t>1.3.</t>
  </si>
  <si>
    <t>Расходы на оплату труда</t>
  </si>
  <si>
    <t>оплата труда</t>
  </si>
  <si>
    <t>численность</t>
  </si>
  <si>
    <t>средняя зарплата в месяц</t>
  </si>
  <si>
    <t>Льготный проезд к месту отдыха</t>
  </si>
  <si>
    <t>1.3.1.</t>
  </si>
  <si>
    <t>ОПР</t>
  </si>
  <si>
    <t>1.3.2.</t>
  </si>
  <si>
    <t>Цеховые</t>
  </si>
  <si>
    <t>1.3.3.</t>
  </si>
  <si>
    <t>АУП</t>
  </si>
  <si>
    <t>1.4.</t>
  </si>
  <si>
    <t>1.5.</t>
  </si>
  <si>
    <t>Расходы на оплату иных работ и услуг, выполняемых по договорам с организациями</t>
  </si>
  <si>
    <t>1.6.</t>
  </si>
  <si>
    <t>Расходы на служебные командировки</t>
  </si>
  <si>
    <t>1.7.</t>
  </si>
  <si>
    <t>Расходы на обучение персонала</t>
  </si>
  <si>
    <t>1.8.</t>
  </si>
  <si>
    <t>1.9.</t>
  </si>
  <si>
    <t>2.7.2.</t>
  </si>
  <si>
    <t>Амортизация основных средств и нематериальных активов всего, в том числе:</t>
  </si>
  <si>
    <t>вводимых в эксплуатацию в результате реализации инвестиционной программы</t>
  </si>
  <si>
    <t xml:space="preserve">Расходы на приобретение энергетических ресурсов </t>
  </si>
  <si>
    <t>Лизинговый платеж</t>
  </si>
  <si>
    <t>Арендная плата</t>
  </si>
  <si>
    <t>1.10.</t>
  </si>
  <si>
    <t>введенных в эксплуатацию до реализации инвестиционной программы</t>
  </si>
  <si>
    <t xml:space="preserve">Расходы на топливо </t>
  </si>
  <si>
    <t>Расходы на электрическую энергию</t>
  </si>
  <si>
    <t>Расходы на холодную воду</t>
  </si>
  <si>
    <t>Расходы на тепловую энергию</t>
  </si>
  <si>
    <t>Расходы на теплоноситель</t>
  </si>
  <si>
    <t>3.5.</t>
  </si>
  <si>
    <t>3.5.1.</t>
  </si>
  <si>
    <t>3.5.2.</t>
  </si>
  <si>
    <t xml:space="preserve">Расходы на выплаты, предусмотренные коллективными договорами, не учитываемые при определении налоговой базы налога на прибыль </t>
  </si>
  <si>
    <t>Другие расходы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</si>
  <si>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</si>
  <si>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</si>
  <si>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</si>
  <si>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</si>
  <si>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</si>
  <si>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>Полезный отпуск 1 полугодие</t>
  </si>
  <si>
    <t>Полезный отпуск 2 полугодие</t>
  </si>
  <si>
    <t>итого ПО</t>
  </si>
  <si>
    <t>Тариф 1 полугодие</t>
  </si>
  <si>
    <t>Тариф 2 полугодие</t>
  </si>
  <si>
    <t>НВВ</t>
  </si>
  <si>
    <t>НВВ 1 полугодия</t>
  </si>
  <si>
    <t>НВВ 2 полугодия</t>
  </si>
  <si>
    <t>Рост тарифа по полугодиям</t>
  </si>
  <si>
    <t>Амортизация</t>
  </si>
  <si>
    <t>Прибыль, расходы на капитальные вложения (инвестиции)</t>
  </si>
  <si>
    <t>Источники итого</t>
  </si>
  <si>
    <t>Полезный отпуск</t>
  </si>
  <si>
    <t xml:space="preserve">Индекс потребительских цен </t>
  </si>
  <si>
    <t>Индекс эффективности операционных расходов установленный</t>
  </si>
  <si>
    <t xml:space="preserve">Индекс изменения количества активов </t>
  </si>
  <si>
    <t>Коэффициент эластичности затрат по росту активов (Кэл)</t>
  </si>
  <si>
    <t>у.е.</t>
  </si>
  <si>
    <t>Производство т/э</t>
  </si>
  <si>
    <t>Установленная тепловая мощность источника т/э</t>
  </si>
  <si>
    <t>Гкал/ч</t>
  </si>
  <si>
    <t>Передача т/э</t>
  </si>
  <si>
    <t>Количество условных единиц</t>
  </si>
  <si>
    <t>итого</t>
  </si>
  <si>
    <t>Итого ИП</t>
  </si>
  <si>
    <t>амортизация в тарифе</t>
  </si>
  <si>
    <t>остаток амортизации</t>
  </si>
  <si>
    <t>Среднегодовой рост тарифа к предыдущему периоду</t>
  </si>
  <si>
    <t>2028 год</t>
  </si>
  <si>
    <t>Расходы на оплату работ и услуг производственного характера, выполняемых по договорам со сторонними организациями</t>
  </si>
  <si>
    <t>Итого</t>
  </si>
  <si>
    <t>Расчет выплат по годам</t>
  </si>
  <si>
    <t>Период</t>
  </si>
  <si>
    <t>1 месяц</t>
  </si>
  <si>
    <t>2 месяц</t>
  </si>
  <si>
    <t>3 месяц</t>
  </si>
  <si>
    <t>4 месяц</t>
  </si>
  <si>
    <t>5 месяц</t>
  </si>
  <si>
    <t>6 месяц</t>
  </si>
  <si>
    <t>7 месяц</t>
  </si>
  <si>
    <t>8 месяц</t>
  </si>
  <si>
    <t>9 месяц</t>
  </si>
  <si>
    <t>10 месяц</t>
  </si>
  <si>
    <t>11 месяц</t>
  </si>
  <si>
    <t>12 месяц</t>
  </si>
  <si>
    <t>Размер транша выборки</t>
  </si>
  <si>
    <t>Размер транша погашения основного долга</t>
  </si>
  <si>
    <t>Остаток</t>
  </si>
  <si>
    <t>Дней в году/месяце</t>
  </si>
  <si>
    <t>дн.</t>
  </si>
  <si>
    <t xml:space="preserve">Размер погашения процентов </t>
  </si>
  <si>
    <t>Размер суммарного платежа</t>
  </si>
  <si>
    <t>Итого размер кредита</t>
  </si>
  <si>
    <t>тыс.руб.</t>
  </si>
  <si>
    <t xml:space="preserve">Итого размер погашения процентов </t>
  </si>
  <si>
    <t>Займ</t>
  </si>
  <si>
    <t>Наименование</t>
  </si>
  <si>
    <t>Примечание</t>
  </si>
  <si>
    <t>Выплаты за период:</t>
  </si>
  <si>
    <t>На начало года</t>
  </si>
  <si>
    <t>Остаток долга на начало года</t>
  </si>
  <si>
    <t>Поступление</t>
  </si>
  <si>
    <t>Получение займа</t>
  </si>
  <si>
    <t>Возврат</t>
  </si>
  <si>
    <t>Погашение основной части долга</t>
  </si>
  <si>
    <t>На конец года</t>
  </si>
  <si>
    <t>Остаток долга на конец года</t>
  </si>
  <si>
    <t>начисленные проценты</t>
  </si>
  <si>
    <t>уплаченные проценты</t>
  </si>
  <si>
    <t xml:space="preserve">Выплата процентов </t>
  </si>
  <si>
    <t>ставка по кредиту</t>
  </si>
  <si>
    <t xml:space="preserve"> % ставка</t>
  </si>
  <si>
    <t>Источники погашения:</t>
  </si>
  <si>
    <t>-</t>
  </si>
  <si>
    <t>План привлечения и возврата кредитных средств,  для реализации мероприятий инвестиционной программы</t>
  </si>
  <si>
    <t>Факт за последний отчетный период_2021 год</t>
  </si>
  <si>
    <t>Установленный тариф на год, предшествующий первому году реализации ИП_2022 год</t>
  </si>
  <si>
    <t>Финансово-экономическая модель концессионного проекта: Уличное освещение г. СУРГУТ</t>
  </si>
  <si>
    <t>Расчет кредита детализация 2025-2030</t>
  </si>
  <si>
    <t>Срок кредита</t>
  </si>
  <si>
    <t>лет</t>
  </si>
  <si>
    <t>Итого размер погашения долга</t>
  </si>
  <si>
    <t>Процентная ставка</t>
  </si>
  <si>
    <t>итого тело</t>
  </si>
  <si>
    <t>итого %</t>
  </si>
  <si>
    <t>Нагрузка</t>
  </si>
  <si>
    <t>Расчет кредита детализация 2028-2038</t>
  </si>
  <si>
    <t xml:space="preserve">2028 год </t>
  </si>
  <si>
    <t>12% ставка ЦБ от 12.08.2023г. +3% пункта</t>
  </si>
  <si>
    <t xml:space="preserve">Предварительный расчет тарифа на тепловую энергию  (ГРЭС 1,2) на территории города Сургута на 2023-2028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</si>
</sst>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&quot;$&quot;#,##0_);[Red]\(&quot;$&quot;#,##0\)"/>
    <numFmt numFmtId="166" formatCode="_-* #,##0.00[$€-1]_-;\-* #,##0.00[$€-1]_-;_-* &quot;-&quot;??[$€-1]_-"/>
    <numFmt numFmtId="167" formatCode="_-* #,##0.00\ _р_._-;\-* #,##0.00\ _р_._-;_-* &quot;-&quot;??\ _р_._-;_-@_-"/>
    <numFmt numFmtId="168" formatCode="\ #,##0.00&quot;р. &quot;;\-#,##0.00&quot;р. &quot;;&quot; -&quot;#&quot;р. &quot;;@\ "/>
    <numFmt numFmtId="169" formatCode="#,##0.0000"/>
    <numFmt numFmtId="170" formatCode="0.0%"/>
    <numFmt numFmtId="171" formatCode="#,##0.000"/>
    <numFmt numFmtId="172" formatCode="#,##0.0"/>
    <numFmt numFmtId="173" formatCode="0.000"/>
    <numFmt numFmtId="174" formatCode="_-* #,##0\ _₽_-;\-* #,##0\ _₽_-;_-* &quot;-&quot;??\ _₽_-;_-@_-"/>
    <numFmt numFmtId="175" formatCode="0.0000"/>
  </numFmts>
  <fonts count="8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sz val="13"/>
      <name val="Tahoma"/>
      <family val="2"/>
      <charset val="204"/>
    </font>
    <font>
      <b/>
      <sz val="9"/>
      <name val="Tahoma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sz val="11"/>
      <color indexed="62"/>
      <name val="Calibri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9"/>
      <color indexed="12"/>
      <name val="Tahoma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u/>
      <sz val="9"/>
      <color indexed="18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Calibri"/>
      <family val="2"/>
      <charset val="204"/>
    </font>
    <font>
      <sz val="8"/>
      <color indexed="11"/>
      <name val="Tahoma"/>
      <family val="2"/>
      <charset val="204"/>
    </font>
    <font>
      <b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000099"/>
      <name val="Times New Roman"/>
      <family val="1"/>
      <charset val="204"/>
    </font>
    <font>
      <b/>
      <i/>
      <sz val="14"/>
      <color rgb="FF000099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8"/>
      <color rgb="FFFFFFFF"/>
      <name val="Tahoma"/>
      <family val="2"/>
      <charset val="204"/>
    </font>
    <font>
      <sz val="8"/>
      <name val="Tahoma"/>
      <family val="2"/>
      <charset val="204"/>
    </font>
    <font>
      <sz val="8"/>
      <color rgb="FF000000"/>
      <name val="Tahoma"/>
      <family val="2"/>
      <charset val="204"/>
    </font>
    <font>
      <b/>
      <sz val="14"/>
      <color rgb="FF000000"/>
      <name val="Tahoma"/>
      <family val="2"/>
      <charset val="204"/>
    </font>
    <font>
      <b/>
      <sz val="8"/>
      <color rgb="FF000000"/>
      <name val="Tahoma"/>
      <family val="2"/>
      <charset val="204"/>
    </font>
    <font>
      <b/>
      <sz val="9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b/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b/>
      <i/>
      <sz val="11"/>
      <name val="Tahoma"/>
      <family val="2"/>
      <charset val="204"/>
    </font>
    <font>
      <b/>
      <sz val="8"/>
      <color rgb="FFFFFFFF"/>
      <name val="Tahoma"/>
      <family val="2"/>
      <charset val="204"/>
    </font>
    <font>
      <b/>
      <sz val="16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i/>
      <sz val="10"/>
      <name val="Times New Roman"/>
      <family val="1"/>
      <charset val="204"/>
    </font>
    <font>
      <i/>
      <sz val="10"/>
      <color rgb="FF000000"/>
      <name val="Tahoma"/>
      <family val="2"/>
      <charset val="204"/>
    </font>
    <font>
      <b/>
      <i/>
      <sz val="8"/>
      <color theme="0"/>
      <name val="Tahoma"/>
      <family val="2"/>
      <charset val="204"/>
    </font>
    <font>
      <b/>
      <i/>
      <sz val="10"/>
      <color theme="0" tint="-0.499984740745262"/>
      <name val="Times New Roman"/>
      <family val="1"/>
      <charset val="204"/>
    </font>
    <font>
      <i/>
      <sz val="10"/>
      <color theme="0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ahoma"/>
      <family val="2"/>
      <charset val="204"/>
    </font>
    <font>
      <b/>
      <sz val="12"/>
      <color rgb="FF000000"/>
      <name val="Tahoma"/>
      <family val="2"/>
      <charset val="204"/>
    </font>
    <font>
      <b/>
      <i/>
      <sz val="12"/>
      <color rgb="FF000000"/>
      <name val="Tahoma"/>
      <family val="2"/>
      <charset val="204"/>
    </font>
    <font>
      <sz val="8"/>
      <color rgb="FF0000FF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</patternFill>
    </fill>
    <fill>
      <patternFill patternType="solid">
        <fgColor rgb="FFFFFF99"/>
        <bgColor indexed="64"/>
      </patternFill>
    </fill>
    <fill>
      <patternFill patternType="solid">
        <fgColor indexed="1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31869B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6" tint="-0.499984740745262"/>
      </right>
      <top style="medium">
        <color indexed="64"/>
      </top>
      <bottom style="thin">
        <color theme="6" tint="-0.499984740745262"/>
      </bottom>
      <diagonal/>
    </border>
    <border>
      <left style="medium">
        <color indexed="64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6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indexed="64"/>
      </left>
      <right style="thin">
        <color theme="6" tint="-0.499984740745262"/>
      </right>
      <top style="thin">
        <color theme="6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6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6" tint="-0.499984740745262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92">
    <xf numFmtId="0" fontId="0" fillId="0" borderId="0"/>
    <xf numFmtId="0" fontId="19" fillId="0" borderId="0"/>
    <xf numFmtId="0" fontId="20" fillId="0" borderId="0"/>
    <xf numFmtId="0" fontId="22" fillId="3" borderId="3" applyNumberFormat="0">
      <alignment horizontal="center" vertical="center"/>
    </xf>
    <xf numFmtId="0" fontId="24" fillId="4" borderId="4" applyNumberFormat="0" applyAlignment="0"/>
    <xf numFmtId="49" fontId="21" fillId="0" borderId="0" applyBorder="0">
      <alignment vertical="top"/>
    </xf>
    <xf numFmtId="0" fontId="24" fillId="5" borderId="4" applyNumberFormat="0" applyAlignment="0"/>
    <xf numFmtId="0" fontId="25" fillId="0" borderId="0"/>
    <xf numFmtId="4" fontId="21" fillId="7" borderId="1" applyBorder="0">
      <alignment horizontal="right"/>
    </xf>
    <xf numFmtId="0" fontId="13" fillId="0" borderId="0"/>
    <xf numFmtId="0" fontId="12" fillId="0" borderId="0"/>
    <xf numFmtId="0" fontId="19" fillId="0" borderId="0"/>
    <xf numFmtId="164" fontId="12" fillId="0" borderId="0" applyFont="0" applyFill="0" applyBorder="0" applyAlignment="0" applyProtection="0"/>
    <xf numFmtId="0" fontId="26" fillId="0" borderId="0"/>
    <xf numFmtId="166" fontId="26" fillId="0" borderId="0"/>
    <xf numFmtId="0" fontId="35" fillId="0" borderId="0"/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65" fontId="27" fillId="0" borderId="0" applyFont="0" applyFill="0" applyBorder="0" applyAlignment="0" applyProtection="0"/>
    <xf numFmtId="0" fontId="32" fillId="0" borderId="0" applyFill="0" applyBorder="0" applyProtection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8" fillId="0" borderId="0"/>
    <xf numFmtId="0" fontId="32" fillId="0" borderId="0" applyFill="0" applyBorder="0" applyProtection="0">
      <alignment vertical="center"/>
    </xf>
    <xf numFmtId="0" fontId="32" fillId="0" borderId="0" applyFill="0" applyBorder="0" applyProtection="0">
      <alignment vertical="center"/>
    </xf>
    <xf numFmtId="0" fontId="30" fillId="8" borderId="4" applyNumberFormat="0" applyAlignment="0" applyProtection="0"/>
    <xf numFmtId="49" fontId="37" fillId="0" borderId="0" applyNumberFormat="0" applyFill="0" applyBorder="0" applyAlignment="0" applyProtection="0">
      <alignment vertical="top"/>
    </xf>
    <xf numFmtId="0" fontId="34" fillId="0" borderId="0" applyNumberFormat="0" applyFill="0" applyBorder="0" applyAlignment="0" applyProtection="0">
      <alignment vertical="top"/>
      <protection locked="0"/>
    </xf>
    <xf numFmtId="0" fontId="23" fillId="0" borderId="2" applyBorder="0">
      <alignment horizontal="center" vertical="center" wrapText="1"/>
    </xf>
    <xf numFmtId="0" fontId="19" fillId="0" borderId="0"/>
    <xf numFmtId="4" fontId="21" fillId="6" borderId="0" applyBorder="0">
      <alignment horizontal="right"/>
    </xf>
    <xf numFmtId="0" fontId="38" fillId="0" borderId="0"/>
    <xf numFmtId="0" fontId="11" fillId="0" borderId="0"/>
    <xf numFmtId="164" fontId="11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0" fillId="0" borderId="0"/>
    <xf numFmtId="167" fontId="38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39" fillId="0" borderId="0"/>
    <xf numFmtId="168" fontId="39" fillId="0" borderId="0" applyFill="0" applyBorder="0" applyAlignment="0" applyProtection="0"/>
    <xf numFmtId="0" fontId="40" fillId="0" borderId="0"/>
    <xf numFmtId="164" fontId="4" fillId="0" borderId="0" applyFont="0" applyFill="0" applyBorder="0" applyAlignment="0" applyProtection="0"/>
    <xf numFmtId="0" fontId="38" fillId="0" borderId="0"/>
    <xf numFmtId="0" fontId="36" fillId="0" borderId="0">
      <alignment horizontal="left"/>
    </xf>
    <xf numFmtId="0" fontId="38" fillId="0" borderId="0"/>
    <xf numFmtId="0" fontId="25" fillId="8" borderId="0" applyNumberFormat="0" applyBorder="0" applyAlignment="0" applyProtection="0"/>
    <xf numFmtId="164" fontId="38" fillId="0" borderId="0" applyFont="0" applyFill="0" applyBorder="0" applyAlignment="0" applyProtection="0"/>
    <xf numFmtId="0" fontId="3" fillId="0" borderId="0"/>
    <xf numFmtId="0" fontId="19" fillId="0" borderId="0"/>
    <xf numFmtId="0" fontId="41" fillId="1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0" fillId="0" borderId="0"/>
    <xf numFmtId="0" fontId="3" fillId="0" borderId="0"/>
    <xf numFmtId="9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0">
    <xf numFmtId="0" fontId="0" fillId="0" borderId="0" xfId="0"/>
    <xf numFmtId="0" fontId="18" fillId="0" borderId="0" xfId="0" applyFont="1"/>
    <xf numFmtId="0" fontId="17" fillId="0" borderId="0" xfId="0" applyFont="1" applyAlignment="1">
      <alignment wrapText="1"/>
    </xf>
    <xf numFmtId="0" fontId="18" fillId="2" borderId="0" xfId="0" applyFont="1" applyFill="1"/>
    <xf numFmtId="0" fontId="16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Fill="1"/>
    <xf numFmtId="0" fontId="17" fillId="0" borderId="0" xfId="0" applyFont="1"/>
    <xf numFmtId="0" fontId="14" fillId="0" borderId="0" xfId="0" applyFont="1" applyFill="1" applyAlignment="1">
      <alignment wrapText="1"/>
    </xf>
    <xf numFmtId="0" fontId="17" fillId="0" borderId="0" xfId="0" applyFont="1" applyAlignment="1">
      <alignment horizontal="center"/>
    </xf>
    <xf numFmtId="0" fontId="17" fillId="0" borderId="0" xfId="0" applyFont="1" applyFill="1"/>
    <xf numFmtId="0" fontId="17" fillId="2" borderId="0" xfId="0" applyFont="1" applyFill="1"/>
    <xf numFmtId="3" fontId="14" fillId="0" borderId="16" xfId="0" applyNumberFormat="1" applyFont="1" applyFill="1" applyBorder="1" applyAlignment="1">
      <alignment horizontal="center" vertical="top"/>
    </xf>
    <xf numFmtId="3" fontId="15" fillId="9" borderId="16" xfId="0" applyNumberFormat="1" applyFont="1" applyFill="1" applyBorder="1" applyAlignment="1">
      <alignment horizontal="center" vertical="top"/>
    </xf>
    <xf numFmtId="3" fontId="14" fillId="2" borderId="16" xfId="0" applyNumberFormat="1" applyFont="1" applyFill="1" applyBorder="1" applyAlignment="1">
      <alignment horizontal="center" vertical="top"/>
    </xf>
    <xf numFmtId="0" fontId="44" fillId="0" borderId="0" xfId="0" applyFont="1" applyAlignment="1">
      <alignment horizontal="right"/>
    </xf>
    <xf numFmtId="3" fontId="15" fillId="9" borderId="16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45" fillId="0" borderId="0" xfId="0" applyFont="1" applyAlignment="1">
      <alignment horizontal="center"/>
    </xf>
    <xf numFmtId="4" fontId="45" fillId="0" borderId="0" xfId="0" applyNumberFormat="1" applyFont="1"/>
    <xf numFmtId="4" fontId="45" fillId="0" borderId="0" xfId="0" applyNumberFormat="1" applyFont="1" applyFill="1"/>
    <xf numFmtId="0" fontId="14" fillId="0" borderId="0" xfId="0" applyFont="1"/>
    <xf numFmtId="0" fontId="46" fillId="0" borderId="0" xfId="0" applyFont="1"/>
    <xf numFmtId="0" fontId="46" fillId="0" borderId="0" xfId="0" applyFont="1" applyAlignment="1">
      <alignment wrapText="1"/>
    </xf>
    <xf numFmtId="0" fontId="46" fillId="0" borderId="0" xfId="0" applyFont="1" applyAlignment="1">
      <alignment horizontal="center"/>
    </xf>
    <xf numFmtId="0" fontId="45" fillId="0" borderId="0" xfId="0" applyFont="1" applyAlignment="1">
      <alignment horizontal="right"/>
    </xf>
    <xf numFmtId="4" fontId="45" fillId="0" borderId="0" xfId="0" applyNumberFormat="1" applyFont="1" applyFill="1" applyAlignment="1">
      <alignment horizontal="center"/>
    </xf>
    <xf numFmtId="0" fontId="46" fillId="0" borderId="0" xfId="0" applyFont="1" applyFill="1"/>
    <xf numFmtId="0" fontId="15" fillId="2" borderId="0" xfId="0" applyFont="1" applyFill="1"/>
    <xf numFmtId="0" fontId="46" fillId="2" borderId="0" xfId="0" applyFont="1" applyFill="1"/>
    <xf numFmtId="0" fontId="14" fillId="2" borderId="0" xfId="0" applyFont="1" applyFill="1"/>
    <xf numFmtId="4" fontId="15" fillId="9" borderId="28" xfId="0" applyNumberFormat="1" applyFont="1" applyFill="1" applyBorder="1" applyAlignment="1">
      <alignment horizontal="right" vertical="center"/>
    </xf>
    <xf numFmtId="4" fontId="14" fillId="2" borderId="28" xfId="0" applyNumberFormat="1" applyFont="1" applyFill="1" applyBorder="1" applyAlignment="1">
      <alignment horizontal="right" vertical="center"/>
    </xf>
    <xf numFmtId="4" fontId="15" fillId="9" borderId="28" xfId="0" applyNumberFormat="1" applyFont="1" applyFill="1" applyBorder="1" applyAlignment="1">
      <alignment horizontal="right" vertical="top"/>
    </xf>
    <xf numFmtId="4" fontId="14" fillId="2" borderId="5" xfId="0" applyNumberFormat="1" applyFont="1" applyFill="1" applyBorder="1" applyAlignment="1">
      <alignment horizontal="right" vertical="center"/>
    </xf>
    <xf numFmtId="3" fontId="14" fillId="2" borderId="16" xfId="0" applyNumberFormat="1" applyFont="1" applyFill="1" applyBorder="1" applyAlignment="1">
      <alignment horizontal="center" vertical="center"/>
    </xf>
    <xf numFmtId="3" fontId="46" fillId="2" borderId="16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right" vertical="center"/>
    </xf>
    <xf numFmtId="4" fontId="14" fillId="2" borderId="5" xfId="0" applyNumberFormat="1" applyFont="1" applyFill="1" applyBorder="1" applyAlignment="1">
      <alignment vertical="center"/>
    </xf>
    <xf numFmtId="3" fontId="14" fillId="2" borderId="18" xfId="0" applyNumberFormat="1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center" vertical="center"/>
    </xf>
    <xf numFmtId="4" fontId="14" fillId="2" borderId="19" xfId="0" applyNumberFormat="1" applyFont="1" applyFill="1" applyBorder="1" applyAlignment="1">
      <alignment horizontal="left" vertical="center" wrapText="1"/>
    </xf>
    <xf numFmtId="4" fontId="14" fillId="2" borderId="17" xfId="0" applyNumberFormat="1" applyFont="1" applyFill="1" applyBorder="1" applyAlignment="1">
      <alignment horizontal="center" vertical="center"/>
    </xf>
    <xf numFmtId="4" fontId="14" fillId="2" borderId="17" xfId="5" applyNumberFormat="1" applyFont="1" applyFill="1" applyBorder="1" applyAlignment="1" applyProtection="1">
      <alignment horizontal="center" vertical="center"/>
    </xf>
    <xf numFmtId="172" fontId="14" fillId="2" borderId="17" xfId="0" applyNumberFormat="1" applyFont="1" applyFill="1" applyBorder="1" applyAlignment="1">
      <alignment horizontal="center" vertical="center"/>
    </xf>
    <xf numFmtId="169" fontId="48" fillId="2" borderId="19" xfId="5" applyNumberFormat="1" applyFont="1" applyFill="1" applyBorder="1" applyAlignment="1" applyProtection="1">
      <alignment horizontal="center" vertical="center"/>
    </xf>
    <xf numFmtId="4" fontId="15" fillId="9" borderId="28" xfId="0" applyNumberFormat="1" applyFont="1" applyFill="1" applyBorder="1" applyAlignment="1">
      <alignment vertical="center"/>
    </xf>
    <xf numFmtId="4" fontId="15" fillId="9" borderId="5" xfId="0" applyNumberFormat="1" applyFont="1" applyFill="1" applyBorder="1" applyAlignment="1">
      <alignment horizontal="right" vertical="center"/>
    </xf>
    <xf numFmtId="4" fontId="15" fillId="9" borderId="5" xfId="0" applyNumberFormat="1" applyFont="1" applyFill="1" applyBorder="1" applyAlignment="1">
      <alignment horizontal="right" vertical="top"/>
    </xf>
    <xf numFmtId="4" fontId="15" fillId="0" borderId="5" xfId="0" applyNumberFormat="1" applyFont="1" applyFill="1" applyBorder="1" applyAlignment="1">
      <alignment horizontal="right" vertical="center"/>
    </xf>
    <xf numFmtId="4" fontId="14" fillId="0" borderId="5" xfId="0" applyNumberFormat="1" applyFont="1" applyFill="1" applyBorder="1" applyAlignment="1">
      <alignment horizontal="right" vertical="center"/>
    </xf>
    <xf numFmtId="4" fontId="17" fillId="0" borderId="28" xfId="0" applyNumberFormat="1" applyFont="1" applyFill="1" applyBorder="1" applyAlignment="1">
      <alignment horizontal="right" vertical="center"/>
    </xf>
    <xf numFmtId="4" fontId="15" fillId="9" borderId="5" xfId="0" applyNumberFormat="1" applyFont="1" applyFill="1" applyBorder="1" applyAlignment="1">
      <alignment vertical="center"/>
    </xf>
    <xf numFmtId="0" fontId="52" fillId="0" borderId="0" xfId="0" applyFont="1"/>
    <xf numFmtId="0" fontId="45" fillId="11" borderId="18" xfId="0" applyFont="1" applyFill="1" applyBorder="1" applyAlignment="1">
      <alignment horizontal="center" vertical="center"/>
    </xf>
    <xf numFmtId="4" fontId="45" fillId="11" borderId="19" xfId="0" applyNumberFormat="1" applyFont="1" applyFill="1" applyBorder="1" applyAlignment="1">
      <alignment horizontal="left" vertical="center" wrapText="1"/>
    </xf>
    <xf numFmtId="0" fontId="46" fillId="11" borderId="19" xfId="0" applyFont="1" applyFill="1" applyBorder="1" applyAlignment="1">
      <alignment horizontal="center" vertical="center" wrapText="1"/>
    </xf>
    <xf numFmtId="170" fontId="45" fillId="11" borderId="19" xfId="0" applyNumberFormat="1" applyFont="1" applyFill="1" applyBorder="1" applyAlignment="1">
      <alignment horizontal="right" vertical="center"/>
    </xf>
    <xf numFmtId="170" fontId="45" fillId="11" borderId="26" xfId="0" applyNumberFormat="1" applyFont="1" applyFill="1" applyBorder="1" applyAlignment="1">
      <alignment horizontal="right" vertical="center"/>
    </xf>
    <xf numFmtId="170" fontId="45" fillId="11" borderId="29" xfId="0" applyNumberFormat="1" applyFont="1" applyFill="1" applyBorder="1" applyAlignment="1">
      <alignment horizontal="right" vertical="center"/>
    </xf>
    <xf numFmtId="0" fontId="52" fillId="0" borderId="0" xfId="0" applyFont="1" applyAlignment="1">
      <alignment vertical="center"/>
    </xf>
    <xf numFmtId="171" fontId="14" fillId="2" borderId="6" xfId="0" applyNumberFormat="1" applyFont="1" applyFill="1" applyBorder="1" applyAlignment="1">
      <alignment horizontal="right" vertical="top"/>
    </xf>
    <xf numFmtId="171" fontId="14" fillId="2" borderId="9" xfId="0" applyNumberFormat="1" applyFont="1" applyFill="1" applyBorder="1" applyAlignment="1">
      <alignment horizontal="right" vertical="top"/>
    </xf>
    <xf numFmtId="171" fontId="14" fillId="2" borderId="7" xfId="0" applyNumberFormat="1" applyFont="1" applyFill="1" applyBorder="1" applyAlignment="1">
      <alignment horizontal="right" vertical="top"/>
    </xf>
    <xf numFmtId="4" fontId="14" fillId="2" borderId="7" xfId="0" applyNumberFormat="1" applyFont="1" applyFill="1" applyBorder="1" applyAlignment="1">
      <alignment horizontal="right" vertical="top"/>
    </xf>
    <xf numFmtId="4" fontId="14" fillId="2" borderId="10" xfId="0" applyNumberFormat="1" applyFont="1" applyFill="1" applyBorder="1" applyAlignment="1">
      <alignment horizontal="right" vertical="top"/>
    </xf>
    <xf numFmtId="0" fontId="50" fillId="0" borderId="0" xfId="0" applyFont="1"/>
    <xf numFmtId="0" fontId="52" fillId="0" borderId="0" xfId="0" applyFont="1" applyAlignment="1">
      <alignment wrapText="1"/>
    </xf>
    <xf numFmtId="0" fontId="52" fillId="0" borderId="0" xfId="0" applyFont="1" applyAlignment="1">
      <alignment horizontal="center"/>
    </xf>
    <xf numFmtId="0" fontId="51" fillId="0" borderId="0" xfId="0" applyFont="1"/>
    <xf numFmtId="0" fontId="51" fillId="0" borderId="0" xfId="0" applyFont="1" applyFill="1"/>
    <xf numFmtId="4" fontId="49" fillId="12" borderId="7" xfId="0" applyNumberFormat="1" applyFont="1" applyFill="1" applyBorder="1" applyAlignment="1">
      <alignment horizontal="right" vertical="top"/>
    </xf>
    <xf numFmtId="4" fontId="49" fillId="12" borderId="10" xfId="0" applyNumberFormat="1" applyFont="1" applyFill="1" applyBorder="1" applyAlignment="1">
      <alignment horizontal="right" vertical="top"/>
    </xf>
    <xf numFmtId="170" fontId="45" fillId="12" borderId="11" xfId="0" applyNumberFormat="1" applyFont="1" applyFill="1" applyBorder="1"/>
    <xf numFmtId="170" fontId="45" fillId="12" borderId="12" xfId="0" applyNumberFormat="1" applyFont="1" applyFill="1" applyBorder="1"/>
    <xf numFmtId="4" fontId="14" fillId="2" borderId="29" xfId="0" applyNumberFormat="1" applyFont="1" applyFill="1" applyBorder="1" applyAlignment="1">
      <alignment horizontal="center" vertical="center"/>
    </xf>
    <xf numFmtId="4" fontId="14" fillId="2" borderId="26" xfId="0" applyNumberFormat="1" applyFont="1" applyFill="1" applyBorder="1" applyAlignment="1">
      <alignment horizontal="center" vertical="center"/>
    </xf>
    <xf numFmtId="4" fontId="53" fillId="0" borderId="0" xfId="0" applyNumberFormat="1" applyFont="1" applyFill="1"/>
    <xf numFmtId="0" fontId="15" fillId="0" borderId="0" xfId="0" applyFont="1"/>
    <xf numFmtId="4" fontId="14" fillId="2" borderId="28" xfId="0" applyNumberFormat="1" applyFont="1" applyFill="1" applyBorder="1" applyAlignment="1">
      <alignment horizontal="center" vertical="center"/>
    </xf>
    <xf numFmtId="4" fontId="15" fillId="2" borderId="28" xfId="0" applyNumberFormat="1" applyFont="1" applyFill="1" applyBorder="1" applyAlignment="1">
      <alignment horizontal="center" vertical="center"/>
    </xf>
    <xf numFmtId="10" fontId="14" fillId="2" borderId="28" xfId="0" applyNumberFormat="1" applyFont="1" applyFill="1" applyBorder="1" applyAlignment="1">
      <alignment horizontal="center" vertical="center"/>
    </xf>
    <xf numFmtId="4" fontId="14" fillId="2" borderId="16" xfId="0" applyNumberFormat="1" applyFont="1" applyFill="1" applyBorder="1" applyAlignment="1">
      <alignment vertical="top" wrapText="1"/>
    </xf>
    <xf numFmtId="0" fontId="15" fillId="2" borderId="16" xfId="0" applyFont="1" applyFill="1" applyBorder="1" applyAlignment="1">
      <alignment horizontal="center" vertical="center"/>
    </xf>
    <xf numFmtId="4" fontId="15" fillId="0" borderId="28" xfId="0" applyNumberFormat="1" applyFont="1" applyFill="1" applyBorder="1" applyAlignment="1">
      <alignment horizontal="right" vertical="center"/>
    </xf>
    <xf numFmtId="4" fontId="15" fillId="2" borderId="28" xfId="0" applyNumberFormat="1" applyFont="1" applyFill="1" applyBorder="1" applyAlignment="1">
      <alignment horizontal="right" vertical="center"/>
    </xf>
    <xf numFmtId="171" fontId="14" fillId="2" borderId="10" xfId="0" applyNumberFormat="1" applyFont="1" applyFill="1" applyBorder="1" applyAlignment="1">
      <alignment horizontal="right" vertical="top"/>
    </xf>
    <xf numFmtId="3" fontId="14" fillId="0" borderId="16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170" fontId="17" fillId="0" borderId="0" xfId="86" applyNumberFormat="1" applyFont="1"/>
    <xf numFmtId="4" fontId="17" fillId="0" borderId="5" xfId="0" applyNumberFormat="1" applyFont="1" applyFill="1" applyBorder="1" applyAlignment="1">
      <alignment horizontal="right" vertical="center"/>
    </xf>
    <xf numFmtId="4" fontId="14" fillId="0" borderId="28" xfId="0" applyNumberFormat="1" applyFont="1" applyFill="1" applyBorder="1" applyAlignment="1">
      <alignment horizontal="right" vertical="center"/>
    </xf>
    <xf numFmtId="3" fontId="14" fillId="15" borderId="13" xfId="0" applyNumberFormat="1" applyFont="1" applyFill="1" applyBorder="1" applyAlignment="1">
      <alignment horizontal="center" vertical="center"/>
    </xf>
    <xf numFmtId="4" fontId="14" fillId="15" borderId="14" xfId="0" applyNumberFormat="1" applyFont="1" applyFill="1" applyBorder="1" applyAlignment="1">
      <alignment horizontal="left" vertical="center" wrapText="1"/>
    </xf>
    <xf numFmtId="0" fontId="14" fillId="15" borderId="14" xfId="0" applyFont="1" applyFill="1" applyBorder="1" applyAlignment="1">
      <alignment horizontal="center" vertical="center"/>
    </xf>
    <xf numFmtId="4" fontId="14" fillId="15" borderId="14" xfId="0" applyNumberFormat="1" applyFont="1" applyFill="1" applyBorder="1" applyAlignment="1">
      <alignment horizontal="center" vertical="center"/>
    </xf>
    <xf numFmtId="4" fontId="14" fillId="15" borderId="15" xfId="0" applyNumberFormat="1" applyFont="1" applyFill="1" applyBorder="1" applyAlignment="1">
      <alignment horizontal="center" vertical="center"/>
    </xf>
    <xf numFmtId="170" fontId="46" fillId="0" borderId="5" xfId="86" applyNumberFormat="1" applyFont="1" applyFill="1" applyBorder="1" applyAlignment="1">
      <alignment horizontal="right" vertical="center"/>
    </xf>
    <xf numFmtId="170" fontId="46" fillId="0" borderId="28" xfId="86" applyNumberFormat="1" applyFont="1" applyFill="1" applyBorder="1" applyAlignment="1">
      <alignment horizontal="right" vertical="center"/>
    </xf>
    <xf numFmtId="4" fontId="2" fillId="0" borderId="0" xfId="0" applyNumberFormat="1" applyFont="1"/>
    <xf numFmtId="171" fontId="16" fillId="0" borderId="0" xfId="0" applyNumberFormat="1" applyFont="1"/>
    <xf numFmtId="0" fontId="2" fillId="0" borderId="0" xfId="0" applyFont="1" applyAlignment="1">
      <alignment vertical="center"/>
    </xf>
    <xf numFmtId="0" fontId="17" fillId="0" borderId="0" xfId="0" applyFont="1" applyAlignment="1">
      <alignment vertical="top"/>
    </xf>
    <xf numFmtId="4" fontId="45" fillId="13" borderId="34" xfId="0" applyNumberFormat="1" applyFont="1" applyFill="1" applyBorder="1" applyAlignment="1">
      <alignment horizontal="right" vertical="top"/>
    </xf>
    <xf numFmtId="4" fontId="45" fillId="13" borderId="8" xfId="0" applyNumberFormat="1" applyFont="1" applyFill="1" applyBorder="1" applyAlignment="1">
      <alignment horizontal="right" vertical="top"/>
    </xf>
    <xf numFmtId="0" fontId="17" fillId="0" borderId="0" xfId="0" applyFont="1" applyAlignment="1"/>
    <xf numFmtId="4" fontId="44" fillId="0" borderId="0" xfId="0" applyNumberFormat="1" applyFont="1" applyBorder="1" applyAlignment="1">
      <alignment horizontal="right"/>
    </xf>
    <xf numFmtId="3" fontId="44" fillId="0" borderId="0" xfId="0" applyNumberFormat="1" applyFont="1" applyBorder="1" applyAlignment="1">
      <alignment horizontal="right"/>
    </xf>
    <xf numFmtId="4" fontId="44" fillId="0" borderId="0" xfId="0" applyNumberFormat="1" applyFont="1" applyAlignment="1">
      <alignment horizontal="right"/>
    </xf>
    <xf numFmtId="4" fontId="45" fillId="0" borderId="0" xfId="0" applyNumberFormat="1" applyFont="1" applyFill="1" applyAlignment="1">
      <alignment horizontal="right" wrapText="1"/>
    </xf>
    <xf numFmtId="4" fontId="45" fillId="0" borderId="0" xfId="0" applyNumberFormat="1" applyFont="1" applyAlignment="1">
      <alignment horizontal="right" vertical="center"/>
    </xf>
    <xf numFmtId="4" fontId="45" fillId="2" borderId="0" xfId="0" applyNumberFormat="1" applyFont="1" applyFill="1" applyAlignment="1">
      <alignment horizontal="right"/>
    </xf>
    <xf numFmtId="4" fontId="44" fillId="0" borderId="0" xfId="0" applyNumberFormat="1" applyFont="1" applyFill="1" applyAlignment="1">
      <alignment horizontal="right"/>
    </xf>
    <xf numFmtId="4" fontId="44" fillId="0" borderId="0" xfId="0" applyNumberFormat="1" applyFont="1" applyFill="1" applyBorder="1" applyAlignment="1">
      <alignment horizontal="right"/>
    </xf>
    <xf numFmtId="4" fontId="44" fillId="0" borderId="0" xfId="0" applyNumberFormat="1" applyFont="1" applyBorder="1" applyAlignment="1">
      <alignment horizontal="right" vertical="center"/>
    </xf>
    <xf numFmtId="3" fontId="44" fillId="0" borderId="0" xfId="87" applyNumberFormat="1" applyFont="1" applyBorder="1" applyAlignment="1">
      <alignment horizontal="right"/>
    </xf>
    <xf numFmtId="3" fontId="44" fillId="2" borderId="0" xfId="0" applyNumberFormat="1" applyFont="1" applyFill="1" applyBorder="1" applyAlignment="1">
      <alignment horizontal="right"/>
    </xf>
    <xf numFmtId="3" fontId="45" fillId="0" borderId="0" xfId="0" applyNumberFormat="1" applyFont="1" applyBorder="1" applyAlignment="1">
      <alignment horizontal="right"/>
    </xf>
    <xf numFmtId="3" fontId="44" fillId="2" borderId="0" xfId="0" applyNumberFormat="1" applyFont="1" applyFill="1" applyBorder="1" applyAlignment="1">
      <alignment horizontal="right" vertical="center"/>
    </xf>
    <xf numFmtId="3" fontId="44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/>
    </xf>
    <xf numFmtId="4" fontId="45" fillId="0" borderId="0" xfId="0" applyNumberFormat="1" applyFont="1" applyBorder="1" applyAlignment="1">
      <alignment horizontal="right"/>
    </xf>
    <xf numFmtId="4" fontId="50" fillId="0" borderId="0" xfId="0" applyNumberFormat="1" applyFont="1" applyBorder="1" applyAlignment="1">
      <alignment horizontal="right"/>
    </xf>
    <xf numFmtId="4" fontId="17" fillId="2" borderId="36" xfId="0" applyNumberFormat="1" applyFont="1" applyFill="1" applyBorder="1" applyAlignment="1">
      <alignment horizontal="right" vertical="center"/>
    </xf>
    <xf numFmtId="4" fontId="15" fillId="0" borderId="36" xfId="0" applyNumberFormat="1" applyFont="1" applyFill="1" applyBorder="1" applyAlignment="1">
      <alignment horizontal="center" vertical="center" wrapText="1"/>
    </xf>
    <xf numFmtId="4" fontId="14" fillId="2" borderId="36" xfId="0" applyNumberFormat="1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center" vertical="center"/>
    </xf>
    <xf numFmtId="4" fontId="14" fillId="2" borderId="36" xfId="0" applyNumberFormat="1" applyFont="1" applyFill="1" applyBorder="1" applyAlignment="1">
      <alignment horizontal="center" vertical="center"/>
    </xf>
    <xf numFmtId="4" fontId="14" fillId="2" borderId="36" xfId="5" applyNumberFormat="1" applyFont="1" applyFill="1" applyBorder="1" applyAlignment="1" applyProtection="1">
      <alignment horizontal="center" vertical="center"/>
    </xf>
    <xf numFmtId="172" fontId="14" fillId="2" borderId="36" xfId="0" applyNumberFormat="1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left" vertical="center" wrapText="1"/>
    </xf>
    <xf numFmtId="0" fontId="46" fillId="2" borderId="36" xfId="0" applyFont="1" applyFill="1" applyBorder="1" applyAlignment="1">
      <alignment horizontal="center" vertical="center"/>
    </xf>
    <xf numFmtId="4" fontId="46" fillId="2" borderId="36" xfId="0" applyNumberFormat="1" applyFont="1" applyFill="1" applyBorder="1" applyAlignment="1">
      <alignment horizontal="center" vertical="center"/>
    </xf>
    <xf numFmtId="169" fontId="48" fillId="2" borderId="36" xfId="5" applyNumberFormat="1" applyFont="1" applyFill="1" applyBorder="1" applyAlignment="1" applyProtection="1">
      <alignment horizontal="center" vertical="center"/>
    </xf>
    <xf numFmtId="3" fontId="45" fillId="13" borderId="34" xfId="0" applyNumberFormat="1" applyFont="1" applyFill="1" applyBorder="1" applyAlignment="1">
      <alignment horizontal="right" vertical="top"/>
    </xf>
    <xf numFmtId="170" fontId="55" fillId="2" borderId="5" xfId="86" applyNumberFormat="1" applyFont="1" applyFill="1" applyBorder="1" applyAlignment="1">
      <alignment horizontal="right" vertical="center"/>
    </xf>
    <xf numFmtId="0" fontId="56" fillId="0" borderId="0" xfId="0" applyFont="1"/>
    <xf numFmtId="173" fontId="56" fillId="2" borderId="0" xfId="0" applyNumberFormat="1" applyFont="1" applyFill="1"/>
    <xf numFmtId="3" fontId="55" fillId="2" borderId="0" xfId="0" applyNumberFormat="1" applyFont="1" applyFill="1" applyBorder="1" applyAlignment="1">
      <alignment horizontal="right"/>
    </xf>
    <xf numFmtId="0" fontId="56" fillId="2" borderId="0" xfId="0" applyFont="1" applyFill="1"/>
    <xf numFmtId="173" fontId="56" fillId="0" borderId="0" xfId="0" applyNumberFormat="1" applyFont="1"/>
    <xf numFmtId="3" fontId="55" fillId="0" borderId="0" xfId="0" applyNumberFormat="1" applyFont="1" applyBorder="1" applyAlignment="1">
      <alignment horizontal="right"/>
    </xf>
    <xf numFmtId="0" fontId="55" fillId="0" borderId="0" xfId="0" applyFont="1"/>
    <xf numFmtId="175" fontId="18" fillId="0" borderId="0" xfId="0" applyNumberFormat="1" applyFont="1"/>
    <xf numFmtId="4" fontId="17" fillId="0" borderId="0" xfId="0" applyNumberFormat="1" applyFont="1"/>
    <xf numFmtId="3" fontId="52" fillId="0" borderId="0" xfId="0" applyNumberFormat="1" applyFont="1" applyBorder="1" applyAlignment="1">
      <alignment horizontal="right" vertical="top"/>
    </xf>
    <xf numFmtId="3" fontId="52" fillId="0" borderId="0" xfId="0" applyNumberFormat="1" applyFont="1" applyBorder="1" applyAlignment="1">
      <alignment horizontal="right"/>
    </xf>
    <xf numFmtId="0" fontId="57" fillId="16" borderId="0" xfId="0" applyFont="1" applyFill="1" applyBorder="1" applyAlignment="1">
      <alignment wrapText="1"/>
    </xf>
    <xf numFmtId="0" fontId="57" fillId="16" borderId="0" xfId="0" applyFont="1" applyFill="1" applyBorder="1" applyAlignment="1"/>
    <xf numFmtId="43" fontId="57" fillId="16" borderId="0" xfId="0" applyNumberFormat="1" applyFont="1" applyFill="1" applyBorder="1" applyAlignment="1"/>
    <xf numFmtId="0" fontId="58" fillId="16" borderId="0" xfId="0" applyFont="1" applyFill="1" applyBorder="1" applyAlignment="1"/>
    <xf numFmtId="0" fontId="58" fillId="0" borderId="0" xfId="0" applyFont="1" applyFill="1" applyBorder="1"/>
    <xf numFmtId="0" fontId="59" fillId="0" borderId="0" xfId="0" applyFont="1" applyFill="1" applyBorder="1"/>
    <xf numFmtId="0" fontId="60" fillId="0" borderId="0" xfId="0" applyFont="1" applyFill="1" applyBorder="1" applyAlignment="1"/>
    <xf numFmtId="0" fontId="60" fillId="0" borderId="0" xfId="0" applyFont="1" applyFill="1" applyBorder="1" applyAlignment="1">
      <alignment horizontal="left"/>
    </xf>
    <xf numFmtId="0" fontId="61" fillId="0" borderId="0" xfId="0" applyFont="1" applyFill="1" applyBorder="1" applyAlignment="1">
      <alignment horizontal="left"/>
    </xf>
    <xf numFmtId="0" fontId="62" fillId="0" borderId="36" xfId="0" applyFont="1" applyFill="1" applyBorder="1" applyAlignment="1">
      <alignment vertical="center"/>
    </xf>
    <xf numFmtId="0" fontId="62" fillId="0" borderId="36" xfId="0" applyFont="1" applyFill="1" applyBorder="1" applyAlignment="1">
      <alignment horizontal="center" vertical="center"/>
    </xf>
    <xf numFmtId="0" fontId="61" fillId="0" borderId="36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left" vertical="center"/>
    </xf>
    <xf numFmtId="0" fontId="57" fillId="16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23" fillId="0" borderId="36" xfId="0" applyFont="1" applyFill="1" applyBorder="1" applyAlignment="1" applyProtection="1">
      <alignment horizontal="left" vertical="center" wrapText="1"/>
    </xf>
    <xf numFmtId="4" fontId="64" fillId="16" borderId="36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vertical="center"/>
    </xf>
    <xf numFmtId="4" fontId="65" fillId="0" borderId="0" xfId="0" applyNumberFormat="1" applyFont="1" applyFill="1" applyBorder="1" applyAlignment="1">
      <alignment vertical="center"/>
    </xf>
    <xf numFmtId="10" fontId="64" fillId="16" borderId="36" xfId="0" applyNumberFormat="1" applyFont="1" applyFill="1" applyBorder="1" applyAlignment="1">
      <alignment vertical="center"/>
    </xf>
    <xf numFmtId="0" fontId="58" fillId="16" borderId="0" xfId="0" applyFont="1" applyFill="1" applyBorder="1"/>
    <xf numFmtId="4" fontId="58" fillId="16" borderId="0" xfId="0" applyNumberFormat="1" applyFont="1" applyFill="1" applyBorder="1"/>
    <xf numFmtId="41" fontId="58" fillId="16" borderId="0" xfId="0" applyNumberFormat="1" applyFont="1" applyFill="1" applyBorder="1"/>
    <xf numFmtId="0" fontId="66" fillId="16" borderId="0" xfId="0" applyFont="1" applyFill="1" applyBorder="1"/>
    <xf numFmtId="0" fontId="64" fillId="16" borderId="36" xfId="0" applyFont="1" applyFill="1" applyBorder="1" applyAlignment="1" applyProtection="1">
      <alignment vertical="center" wrapText="1"/>
    </xf>
    <xf numFmtId="0" fontId="67" fillId="17" borderId="36" xfId="0" applyFont="1" applyFill="1" applyBorder="1" applyAlignment="1" applyProtection="1">
      <alignment horizontal="left" vertical="top" wrapText="1"/>
    </xf>
    <xf numFmtId="0" fontId="67" fillId="17" borderId="36" xfId="0" applyFont="1" applyFill="1" applyBorder="1" applyAlignment="1" applyProtection="1">
      <alignment horizontal="center" vertical="top" wrapText="1"/>
    </xf>
    <xf numFmtId="41" fontId="67" fillId="18" borderId="36" xfId="0" applyNumberFormat="1" applyFont="1" applyFill="1" applyBorder="1" applyAlignment="1" applyProtection="1">
      <alignment horizontal="center" vertical="top" wrapText="1"/>
    </xf>
    <xf numFmtId="41" fontId="67" fillId="17" borderId="36" xfId="0" applyNumberFormat="1" applyFont="1" applyFill="1" applyBorder="1" applyAlignment="1" applyProtection="1">
      <alignment horizontal="center" vertical="top" wrapText="1"/>
    </xf>
    <xf numFmtId="0" fontId="58" fillId="16" borderId="36" xfId="0" applyFont="1" applyFill="1" applyBorder="1" applyAlignment="1" applyProtection="1">
      <alignment horizontal="left" vertical="top" wrapText="1"/>
    </xf>
    <xf numFmtId="2" fontId="58" fillId="16" borderId="36" xfId="0" applyNumberFormat="1" applyFont="1" applyFill="1" applyBorder="1" applyAlignment="1" applyProtection="1">
      <alignment horizontal="center" vertical="top" wrapText="1"/>
    </xf>
    <xf numFmtId="41" fontId="64" fillId="16" borderId="36" xfId="0" applyNumberFormat="1" applyFont="1" applyFill="1" applyBorder="1" applyAlignment="1" applyProtection="1">
      <alignment horizontal="center" vertical="top"/>
    </xf>
    <xf numFmtId="41" fontId="58" fillId="16" borderId="36" xfId="0" applyNumberFormat="1" applyFont="1" applyFill="1" applyBorder="1" applyAlignment="1" applyProtection="1">
      <alignment horizontal="center" vertical="top"/>
    </xf>
    <xf numFmtId="41" fontId="58" fillId="16" borderId="36" xfId="0" applyNumberFormat="1" applyFont="1" applyFill="1" applyBorder="1" applyAlignment="1" applyProtection="1">
      <alignment horizontal="center"/>
    </xf>
    <xf numFmtId="0" fontId="58" fillId="16" borderId="36" xfId="0" applyFont="1" applyFill="1" applyBorder="1" applyAlignment="1" applyProtection="1">
      <alignment horizontal="center" vertical="top" wrapText="1"/>
    </xf>
    <xf numFmtId="41" fontId="64" fillId="16" borderId="36" xfId="0" applyNumberFormat="1" applyFont="1" applyFill="1" applyBorder="1" applyAlignment="1" applyProtection="1">
      <alignment horizontal="center"/>
    </xf>
    <xf numFmtId="41" fontId="58" fillId="16" borderId="36" xfId="0" applyNumberFormat="1" applyFont="1" applyFill="1" applyBorder="1" applyAlignment="1" applyProtection="1">
      <alignment horizontal="center" vertical="center"/>
    </xf>
    <xf numFmtId="41" fontId="64" fillId="16" borderId="36" xfId="0" applyNumberFormat="1" applyFont="1" applyFill="1" applyBorder="1" applyAlignment="1" applyProtection="1">
      <alignment horizontal="center" vertical="center"/>
    </xf>
    <xf numFmtId="0" fontId="58" fillId="16" borderId="36" xfId="0" applyFont="1" applyFill="1" applyBorder="1" applyAlignment="1" applyProtection="1">
      <alignment horizontal="left" vertical="center" wrapText="1"/>
    </xf>
    <xf numFmtId="2" fontId="58" fillId="16" borderId="36" xfId="0" applyNumberFormat="1" applyFont="1" applyFill="1" applyBorder="1" applyAlignment="1" applyProtection="1">
      <alignment horizontal="center" vertical="center" wrapText="1"/>
    </xf>
    <xf numFmtId="0" fontId="58" fillId="16" borderId="0" xfId="0" applyFont="1" applyFill="1" applyBorder="1" applyAlignment="1">
      <alignment vertical="center"/>
    </xf>
    <xf numFmtId="0" fontId="58" fillId="16" borderId="36" xfId="0" applyFont="1" applyFill="1" applyBorder="1" applyAlignment="1" applyProtection="1">
      <alignment horizontal="center" vertical="center" wrapText="1"/>
    </xf>
    <xf numFmtId="41" fontId="58" fillId="19" borderId="36" xfId="0" applyNumberFormat="1" applyFont="1" applyFill="1" applyBorder="1" applyAlignment="1" applyProtection="1">
      <alignment horizontal="center" vertical="top"/>
    </xf>
    <xf numFmtId="4" fontId="59" fillId="0" borderId="0" xfId="0" applyNumberFormat="1" applyFont="1" applyFill="1" applyBorder="1"/>
    <xf numFmtId="41" fontId="58" fillId="16" borderId="0" xfId="0" applyNumberFormat="1" applyFont="1" applyFill="1" applyBorder="1" applyAlignment="1">
      <alignment vertical="center"/>
    </xf>
    <xf numFmtId="41" fontId="64" fillId="20" borderId="36" xfId="0" applyNumberFormat="1" applyFont="1" applyFill="1" applyBorder="1" applyAlignment="1" applyProtection="1">
      <alignment horizontal="center" vertical="top"/>
    </xf>
    <xf numFmtId="169" fontId="18" fillId="0" borderId="0" xfId="0" applyNumberFormat="1" applyFont="1"/>
    <xf numFmtId="4" fontId="14" fillId="0" borderId="36" xfId="0" applyNumberFormat="1" applyFont="1" applyFill="1" applyBorder="1" applyAlignment="1">
      <alignment vertical="top" wrapText="1"/>
    </xf>
    <xf numFmtId="4" fontId="14" fillId="2" borderId="36" xfId="0" applyNumberFormat="1" applyFont="1" applyFill="1" applyBorder="1" applyAlignment="1">
      <alignment horizontal="right" vertical="center"/>
    </xf>
    <xf numFmtId="4" fontId="14" fillId="2" borderId="36" xfId="0" applyNumberFormat="1" applyFont="1" applyFill="1" applyBorder="1" applyAlignment="1">
      <alignment vertical="center"/>
    </xf>
    <xf numFmtId="4" fontId="14" fillId="0" borderId="36" xfId="0" applyNumberFormat="1" applyFont="1" applyFill="1" applyBorder="1" applyAlignment="1">
      <alignment vertical="center" wrapText="1"/>
    </xf>
    <xf numFmtId="0" fontId="17" fillId="0" borderId="36" xfId="0" applyFont="1" applyFill="1" applyBorder="1" applyAlignment="1">
      <alignment horizontal="center" vertical="center"/>
    </xf>
    <xf numFmtId="4" fontId="17" fillId="0" borderId="36" xfId="0" applyNumberFormat="1" applyFont="1" applyFill="1" applyBorder="1" applyAlignment="1">
      <alignment horizontal="right" vertical="center"/>
    </xf>
    <xf numFmtId="4" fontId="15" fillId="9" borderId="36" xfId="0" applyNumberFormat="1" applyFont="1" applyFill="1" applyBorder="1" applyAlignment="1">
      <alignment vertical="center" wrapText="1"/>
    </xf>
    <xf numFmtId="0" fontId="15" fillId="9" borderId="36" xfId="0" applyFont="1" applyFill="1" applyBorder="1" applyAlignment="1">
      <alignment horizontal="center" vertical="center"/>
    </xf>
    <xf numFmtId="4" fontId="15" fillId="9" borderId="36" xfId="0" applyNumberFormat="1" applyFont="1" applyFill="1" applyBorder="1" applyAlignment="1">
      <alignment horizontal="right" vertical="center"/>
    </xf>
    <xf numFmtId="4" fontId="14" fillId="2" borderId="36" xfId="0" applyNumberFormat="1" applyFont="1" applyFill="1" applyBorder="1" applyAlignment="1">
      <alignment vertical="top" wrapText="1"/>
    </xf>
    <xf numFmtId="0" fontId="14" fillId="2" borderId="36" xfId="0" applyFont="1" applyFill="1" applyBorder="1" applyAlignment="1">
      <alignment horizontal="center" vertical="top"/>
    </xf>
    <xf numFmtId="4" fontId="14" fillId="0" borderId="36" xfId="0" applyNumberFormat="1" applyFont="1" applyFill="1" applyBorder="1" applyAlignment="1">
      <alignment horizontal="right" vertical="center"/>
    </xf>
    <xf numFmtId="4" fontId="15" fillId="2" borderId="36" xfId="0" applyNumberFormat="1" applyFont="1" applyFill="1" applyBorder="1" applyAlignment="1">
      <alignment horizontal="right" vertical="center"/>
    </xf>
    <xf numFmtId="9" fontId="55" fillId="2" borderId="36" xfId="86" applyFont="1" applyFill="1" applyBorder="1" applyAlignment="1">
      <alignment horizontal="right" vertical="center"/>
    </xf>
    <xf numFmtId="170" fontId="55" fillId="2" borderId="36" xfId="86" applyNumberFormat="1" applyFont="1" applyFill="1" applyBorder="1" applyAlignment="1">
      <alignment horizontal="right" vertical="center"/>
    </xf>
    <xf numFmtId="4" fontId="15" fillId="9" borderId="36" xfId="0" applyNumberFormat="1" applyFont="1" applyFill="1" applyBorder="1" applyAlignment="1">
      <alignment vertical="top" wrapText="1"/>
    </xf>
    <xf numFmtId="0" fontId="15" fillId="9" borderId="36" xfId="0" applyFont="1" applyFill="1" applyBorder="1" applyAlignment="1">
      <alignment horizontal="center" vertical="top"/>
    </xf>
    <xf numFmtId="4" fontId="15" fillId="9" borderId="36" xfId="0" applyNumberFormat="1" applyFont="1" applyFill="1" applyBorder="1" applyAlignment="1">
      <alignment horizontal="right" vertical="top"/>
    </xf>
    <xf numFmtId="0" fontId="14" fillId="0" borderId="36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top"/>
    </xf>
    <xf numFmtId="4" fontId="15" fillId="9" borderId="36" xfId="0" applyNumberFormat="1" applyFont="1" applyFill="1" applyBorder="1" applyAlignment="1">
      <alignment vertical="center"/>
    </xf>
    <xf numFmtId="0" fontId="15" fillId="9" borderId="36" xfId="0" applyFont="1" applyFill="1" applyBorder="1" applyAlignment="1">
      <alignment horizontal="center" vertical="center" wrapText="1"/>
    </xf>
    <xf numFmtId="4" fontId="15" fillId="2" borderId="36" xfId="0" applyNumberFormat="1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center" vertical="center" wrapText="1"/>
    </xf>
    <xf numFmtId="170" fontId="46" fillId="0" borderId="36" xfId="86" applyNumberFormat="1" applyFont="1" applyFill="1" applyBorder="1" applyAlignment="1">
      <alignment horizontal="right" vertical="center"/>
    </xf>
    <xf numFmtId="4" fontId="15" fillId="0" borderId="36" xfId="0" applyNumberFormat="1" applyFont="1" applyFill="1" applyBorder="1" applyAlignment="1">
      <alignment horizontal="right" vertical="center"/>
    </xf>
    <xf numFmtId="4" fontId="14" fillId="2" borderId="20" xfId="0" applyNumberFormat="1" applyFont="1" applyFill="1" applyBorder="1" applyAlignment="1">
      <alignment horizontal="center" vertical="center"/>
    </xf>
    <xf numFmtId="169" fontId="48" fillId="2" borderId="20" xfId="5" applyNumberFormat="1" applyFont="1" applyFill="1" applyBorder="1" applyAlignment="1" applyProtection="1">
      <alignment horizontal="center" vertical="center"/>
    </xf>
    <xf numFmtId="1" fontId="14" fillId="0" borderId="45" xfId="0" applyNumberFormat="1" applyFont="1" applyBorder="1" applyAlignment="1">
      <alignment horizontal="center" vertical="center"/>
    </xf>
    <xf numFmtId="4" fontId="15" fillId="0" borderId="17" xfId="0" applyNumberFormat="1" applyFont="1" applyFill="1" applyBorder="1" applyAlignment="1">
      <alignment horizontal="center" vertical="center" wrapText="1"/>
    </xf>
    <xf numFmtId="41" fontId="58" fillId="21" borderId="36" xfId="0" applyNumberFormat="1" applyFont="1" applyFill="1" applyBorder="1" applyAlignment="1" applyProtection="1">
      <alignment horizontal="center" vertical="top"/>
    </xf>
    <xf numFmtId="3" fontId="45" fillId="2" borderId="9" xfId="0" applyNumberFormat="1" applyFont="1" applyFill="1" applyBorder="1" applyAlignment="1">
      <alignment horizontal="right" vertical="top"/>
    </xf>
    <xf numFmtId="3" fontId="45" fillId="2" borderId="40" xfId="0" applyNumberFormat="1" applyFont="1" applyFill="1" applyBorder="1" applyAlignment="1">
      <alignment horizontal="right" vertical="top"/>
    </xf>
    <xf numFmtId="3" fontId="45" fillId="2" borderId="10" xfId="0" applyNumberFormat="1" applyFont="1" applyFill="1" applyBorder="1" applyAlignment="1">
      <alignment horizontal="right" vertical="top"/>
    </xf>
    <xf numFmtId="3" fontId="50" fillId="2" borderId="0" xfId="0" applyNumberFormat="1" applyFont="1" applyFill="1" applyBorder="1" applyAlignment="1">
      <alignment horizontal="right" vertical="top"/>
    </xf>
    <xf numFmtId="3" fontId="50" fillId="2" borderId="37" xfId="0" applyNumberFormat="1" applyFont="1" applyFill="1" applyBorder="1" applyAlignment="1">
      <alignment horizontal="right" vertical="top"/>
    </xf>
    <xf numFmtId="41" fontId="64" fillId="20" borderId="36" xfId="0" applyNumberFormat="1" applyFont="1" applyFill="1" applyBorder="1" applyAlignment="1" applyProtection="1">
      <alignment horizontal="center" vertical="center"/>
    </xf>
    <xf numFmtId="0" fontId="68" fillId="0" borderId="0" xfId="0" applyFont="1"/>
    <xf numFmtId="0" fontId="69" fillId="0" borderId="13" xfId="85" applyFont="1" applyBorder="1" applyAlignment="1">
      <alignment horizontal="center" vertical="center" wrapText="1"/>
    </xf>
    <xf numFmtId="0" fontId="69" fillId="3" borderId="14" xfId="85" applyFont="1" applyFill="1" applyBorder="1" applyAlignment="1">
      <alignment horizontal="center" vertical="center"/>
    </xf>
    <xf numFmtId="0" fontId="69" fillId="2" borderId="14" xfId="85" applyFont="1" applyFill="1" applyBorder="1" applyAlignment="1">
      <alignment horizontal="center" vertical="center"/>
    </xf>
    <xf numFmtId="0" fontId="69" fillId="2" borderId="25" xfId="85" applyFont="1" applyFill="1" applyBorder="1" applyAlignment="1">
      <alignment horizontal="center" vertical="center"/>
    </xf>
    <xf numFmtId="0" fontId="69" fillId="3" borderId="15" xfId="85" applyFont="1" applyFill="1" applyBorder="1" applyAlignment="1">
      <alignment horizontal="center" vertical="center"/>
    </xf>
    <xf numFmtId="0" fontId="70" fillId="0" borderId="0" xfId="0" applyFont="1"/>
    <xf numFmtId="0" fontId="71" fillId="0" borderId="18" xfId="85" applyFont="1" applyBorder="1" applyAlignment="1">
      <alignment horizontal="center" vertical="center"/>
    </xf>
    <xf numFmtId="0" fontId="71" fillId="3" borderId="19" xfId="85" applyFont="1" applyFill="1" applyBorder="1" applyAlignment="1">
      <alignment horizontal="center" vertical="center"/>
    </xf>
    <xf numFmtId="0" fontId="71" fillId="2" borderId="19" xfId="85" applyFont="1" applyFill="1" applyBorder="1" applyAlignment="1">
      <alignment horizontal="center" vertical="center" wrapText="1"/>
    </xf>
    <xf numFmtId="0" fontId="71" fillId="2" borderId="19" xfId="85" applyFont="1" applyFill="1" applyBorder="1" applyAlignment="1">
      <alignment horizontal="center" vertical="center"/>
    </xf>
    <xf numFmtId="0" fontId="71" fillId="0" borderId="41" xfId="85" applyFont="1" applyBorder="1" applyAlignment="1">
      <alignment horizontal="center" vertical="center"/>
    </xf>
    <xf numFmtId="0" fontId="69" fillId="3" borderId="42" xfId="85" applyFont="1" applyFill="1" applyBorder="1" applyAlignment="1">
      <alignment horizontal="center" vertical="center"/>
    </xf>
    <xf numFmtId="43" fontId="69" fillId="2" borderId="42" xfId="88" applyFont="1" applyFill="1" applyBorder="1"/>
    <xf numFmtId="43" fontId="69" fillId="2" borderId="43" xfId="88" applyFont="1" applyFill="1" applyBorder="1"/>
    <xf numFmtId="43" fontId="69" fillId="3" borderId="44" xfId="88" applyFont="1" applyFill="1" applyBorder="1" applyAlignment="1">
      <alignment horizontal="center" vertical="center"/>
    </xf>
    <xf numFmtId="0" fontId="71" fillId="0" borderId="16" xfId="85" applyFont="1" applyBorder="1" applyAlignment="1">
      <alignment horizontal="center" vertical="center"/>
    </xf>
    <xf numFmtId="0" fontId="71" fillId="3" borderId="36" xfId="85" applyFont="1" applyFill="1" applyBorder="1" applyAlignment="1">
      <alignment horizontal="left" vertical="center"/>
    </xf>
    <xf numFmtId="174" fontId="71" fillId="2" borderId="36" xfId="88" applyNumberFormat="1" applyFont="1" applyFill="1" applyBorder="1" applyAlignment="1">
      <alignment horizontal="center" vertical="center"/>
    </xf>
    <xf numFmtId="174" fontId="71" fillId="2" borderId="36" xfId="88" applyNumberFormat="1" applyFont="1" applyFill="1" applyBorder="1"/>
    <xf numFmtId="43" fontId="71" fillId="3" borderId="17" xfId="89" applyFont="1" applyFill="1" applyBorder="1" applyAlignment="1">
      <alignment horizontal="left" vertical="center" wrapText="1"/>
    </xf>
    <xf numFmtId="174" fontId="71" fillId="2" borderId="36" xfId="88" applyNumberFormat="1" applyFont="1" applyFill="1" applyBorder="1" applyAlignment="1"/>
    <xf numFmtId="174" fontId="71" fillId="2" borderId="5" xfId="88" applyNumberFormat="1" applyFont="1" applyFill="1" applyBorder="1" applyAlignment="1"/>
    <xf numFmtId="174" fontId="71" fillId="2" borderId="5" xfId="88" applyNumberFormat="1" applyFont="1" applyFill="1" applyBorder="1"/>
    <xf numFmtId="170" fontId="71" fillId="3" borderId="17" xfId="90" applyNumberFormat="1" applyFont="1" applyFill="1" applyBorder="1" applyAlignment="1">
      <alignment horizontal="left" vertical="center"/>
    </xf>
    <xf numFmtId="9" fontId="71" fillId="3" borderId="36" xfId="91" applyFont="1" applyFill="1" applyBorder="1" applyAlignment="1">
      <alignment horizontal="left" vertical="center"/>
    </xf>
    <xf numFmtId="43" fontId="71" fillId="2" borderId="36" xfId="88" applyFont="1" applyFill="1" applyBorder="1"/>
    <xf numFmtId="0" fontId="69" fillId="3" borderId="36" xfId="85" applyFont="1" applyFill="1" applyBorder="1" applyAlignment="1"/>
    <xf numFmtId="43" fontId="69" fillId="2" borderId="36" xfId="85" applyNumberFormat="1" applyFont="1" applyFill="1" applyBorder="1" applyAlignment="1">
      <alignment horizontal="left"/>
    </xf>
    <xf numFmtId="0" fontId="71" fillId="3" borderId="17" xfId="85" applyFont="1" applyFill="1" applyBorder="1" applyAlignment="1">
      <alignment horizontal="center" vertical="center"/>
    </xf>
    <xf numFmtId="43" fontId="71" fillId="3" borderId="17" xfId="88" applyFont="1" applyFill="1" applyBorder="1" applyAlignment="1">
      <alignment horizontal="center" vertical="center"/>
    </xf>
    <xf numFmtId="43" fontId="71" fillId="2" borderId="5" xfId="88" applyFont="1" applyFill="1" applyBorder="1"/>
    <xf numFmtId="0" fontId="71" fillId="3" borderId="19" xfId="85" applyFont="1" applyFill="1" applyBorder="1" applyAlignment="1">
      <alignment horizontal="left" vertical="center"/>
    </xf>
    <xf numFmtId="43" fontId="71" fillId="2" borderId="19" xfId="88" applyFont="1" applyFill="1" applyBorder="1"/>
    <xf numFmtId="43" fontId="71" fillId="2" borderId="26" xfId="88" applyFont="1" applyFill="1" applyBorder="1"/>
    <xf numFmtId="43" fontId="71" fillId="3" borderId="20" xfId="88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right" vertical="center"/>
    </xf>
    <xf numFmtId="4" fontId="17" fillId="2" borderId="28" xfId="0" applyNumberFormat="1" applyFont="1" applyFill="1" applyBorder="1" applyAlignment="1">
      <alignment horizontal="right" vertical="center"/>
    </xf>
    <xf numFmtId="170" fontId="55" fillId="2" borderId="28" xfId="86" applyNumberFormat="1" applyFont="1" applyFill="1" applyBorder="1" applyAlignment="1">
      <alignment horizontal="right" vertical="center"/>
    </xf>
    <xf numFmtId="10" fontId="55" fillId="2" borderId="0" xfId="87" applyNumberFormat="1" applyFont="1" applyFill="1"/>
    <xf numFmtId="4" fontId="73" fillId="0" borderId="0" xfId="0" applyNumberFormat="1" applyFont="1" applyFill="1" applyBorder="1" applyAlignment="1">
      <alignment vertical="center"/>
    </xf>
    <xf numFmtId="3" fontId="74" fillId="22" borderId="0" xfId="0" applyNumberFormat="1" applyFont="1" applyFill="1" applyBorder="1" applyAlignment="1">
      <alignment vertical="center"/>
    </xf>
    <xf numFmtId="1" fontId="14" fillId="0" borderId="18" xfId="0" applyNumberFormat="1" applyFont="1" applyBorder="1" applyAlignment="1">
      <alignment horizontal="center" vertical="center"/>
    </xf>
    <xf numFmtId="1" fontId="14" fillId="0" borderId="19" xfId="0" applyNumberFormat="1" applyFont="1" applyBorder="1" applyAlignment="1">
      <alignment horizontal="center" vertical="center" wrapText="1"/>
    </xf>
    <xf numFmtId="1" fontId="14" fillId="0" borderId="19" xfId="0" applyNumberFormat="1" applyFont="1" applyBorder="1" applyAlignment="1">
      <alignment horizontal="center" vertical="center"/>
    </xf>
    <xf numFmtId="1" fontId="14" fillId="0" borderId="20" xfId="0" applyNumberFormat="1" applyFont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center" wrapText="1"/>
    </xf>
    <xf numFmtId="4" fontId="14" fillId="2" borderId="14" xfId="0" applyNumberFormat="1" applyFont="1" applyFill="1" applyBorder="1" applyAlignment="1">
      <alignment horizontal="center" vertical="center"/>
    </xf>
    <xf numFmtId="4" fontId="14" fillId="2" borderId="25" xfId="0" applyNumberFormat="1" applyFont="1" applyFill="1" applyBorder="1" applyAlignment="1">
      <alignment horizontal="center" vertical="center"/>
    </xf>
    <xf numFmtId="4" fontId="14" fillId="2" borderId="15" xfId="0" applyNumberFormat="1" applyFont="1" applyFill="1" applyBorder="1" applyAlignment="1">
      <alignment horizontal="center" vertical="center"/>
    </xf>
    <xf numFmtId="4" fontId="14" fillId="2" borderId="27" xfId="0" applyNumberFormat="1" applyFont="1" applyFill="1" applyBorder="1" applyAlignment="1">
      <alignment horizontal="center" vertical="center"/>
    </xf>
    <xf numFmtId="3" fontId="14" fillId="2" borderId="33" xfId="0" applyNumberFormat="1" applyFont="1" applyFill="1" applyBorder="1" applyAlignment="1">
      <alignment horizontal="center" vertical="center"/>
    </xf>
    <xf numFmtId="4" fontId="14" fillId="2" borderId="16" xfId="0" applyNumberFormat="1" applyFont="1" applyFill="1" applyBorder="1" applyAlignment="1">
      <alignment vertical="center" wrapText="1"/>
    </xf>
    <xf numFmtId="4" fontId="14" fillId="2" borderId="5" xfId="0" applyNumberFormat="1" applyFont="1" applyFill="1" applyBorder="1" applyAlignment="1">
      <alignment horizontal="center" vertical="center"/>
    </xf>
    <xf numFmtId="10" fontId="14" fillId="2" borderId="36" xfId="0" applyNumberFormat="1" applyFont="1" applyFill="1" applyBorder="1" applyAlignment="1">
      <alignment horizontal="center" vertical="center"/>
    </xf>
    <xf numFmtId="10" fontId="14" fillId="2" borderId="5" xfId="0" applyNumberFormat="1" applyFont="1" applyFill="1" applyBorder="1" applyAlignment="1">
      <alignment horizontal="center" vertical="center"/>
    </xf>
    <xf numFmtId="10" fontId="14" fillId="2" borderId="17" xfId="0" applyNumberFormat="1" applyFont="1" applyFill="1" applyBorder="1" applyAlignment="1">
      <alignment horizontal="center" vertical="center"/>
    </xf>
    <xf numFmtId="4" fontId="15" fillId="2" borderId="36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4" fontId="15" fillId="2" borderId="17" xfId="0" applyNumberFormat="1" applyFont="1" applyFill="1" applyBorder="1" applyAlignment="1">
      <alignment horizontal="center" vertical="center"/>
    </xf>
    <xf numFmtId="3" fontId="14" fillId="13" borderId="33" xfId="0" applyNumberFormat="1" applyFont="1" applyFill="1" applyBorder="1" applyAlignment="1">
      <alignment horizontal="center" vertical="center"/>
    </xf>
    <xf numFmtId="4" fontId="14" fillId="13" borderId="16" xfId="0" applyNumberFormat="1" applyFont="1" applyFill="1" applyBorder="1" applyAlignment="1">
      <alignment vertical="center" wrapText="1"/>
    </xf>
    <xf numFmtId="4" fontId="14" fillId="13" borderId="36" xfId="0" applyNumberFormat="1" applyFont="1" applyFill="1" applyBorder="1" applyAlignment="1">
      <alignment horizontal="center" vertical="center"/>
    </xf>
    <xf numFmtId="4" fontId="14" fillId="13" borderId="5" xfId="0" applyNumberFormat="1" applyFont="1" applyFill="1" applyBorder="1" applyAlignment="1">
      <alignment horizontal="center" vertical="center"/>
    </xf>
    <xf numFmtId="4" fontId="14" fillId="13" borderId="17" xfId="0" applyNumberFormat="1" applyFont="1" applyFill="1" applyBorder="1" applyAlignment="1">
      <alignment horizontal="center" vertical="center"/>
    </xf>
    <xf numFmtId="3" fontId="14" fillId="2" borderId="32" xfId="0" applyNumberFormat="1" applyFont="1" applyFill="1" applyBorder="1" applyAlignment="1">
      <alignment horizontal="center" vertical="center"/>
    </xf>
    <xf numFmtId="4" fontId="14" fillId="2" borderId="18" xfId="0" applyNumberFormat="1" applyFont="1" applyFill="1" applyBorder="1" applyAlignment="1">
      <alignment vertical="center" wrapText="1"/>
    </xf>
    <xf numFmtId="3" fontId="15" fillId="9" borderId="13" xfId="0" applyNumberFormat="1" applyFont="1" applyFill="1" applyBorder="1" applyAlignment="1">
      <alignment horizontal="center" vertical="center"/>
    </xf>
    <xf numFmtId="4" fontId="15" fillId="9" borderId="14" xfId="0" applyNumberFormat="1" applyFont="1" applyFill="1" applyBorder="1" applyAlignment="1">
      <alignment vertical="center" wrapText="1"/>
    </xf>
    <xf numFmtId="0" fontId="18" fillId="9" borderId="14" xfId="0" applyFont="1" applyFill="1" applyBorder="1" applyAlignment="1">
      <alignment horizontal="center" vertical="center"/>
    </xf>
    <xf numFmtId="4" fontId="18" fillId="9" borderId="14" xfId="0" applyNumberFormat="1" applyFont="1" applyFill="1" applyBorder="1" applyAlignment="1">
      <alignment horizontal="right" vertical="center"/>
    </xf>
    <xf numFmtId="4" fontId="18" fillId="9" borderId="25" xfId="0" applyNumberFormat="1" applyFont="1" applyFill="1" applyBorder="1" applyAlignment="1">
      <alignment horizontal="right" vertical="center"/>
    </xf>
    <xf numFmtId="4" fontId="18" fillId="9" borderId="27" xfId="0" applyNumberFormat="1" applyFont="1" applyFill="1" applyBorder="1" applyAlignment="1">
      <alignment horizontal="right" vertical="center"/>
    </xf>
    <xf numFmtId="4" fontId="14" fillId="2" borderId="28" xfId="0" applyNumberFormat="1" applyFont="1" applyFill="1" applyBorder="1" applyAlignment="1">
      <alignment vertical="center"/>
    </xf>
    <xf numFmtId="4" fontId="14" fillId="2" borderId="36" xfId="0" applyNumberFormat="1" applyFont="1" applyFill="1" applyBorder="1" applyAlignment="1">
      <alignment vertical="center" wrapText="1"/>
    </xf>
    <xf numFmtId="3" fontId="15" fillId="2" borderId="16" xfId="0" applyNumberFormat="1" applyFont="1" applyFill="1" applyBorder="1" applyAlignment="1">
      <alignment horizontal="center" vertical="center"/>
    </xf>
    <xf numFmtId="4" fontId="15" fillId="2" borderId="36" xfId="0" applyNumberFormat="1" applyFont="1" applyFill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vertical="center" wrapText="1"/>
    </xf>
    <xf numFmtId="3" fontId="56" fillId="2" borderId="16" xfId="0" applyNumberFormat="1" applyFont="1" applyFill="1" applyBorder="1" applyAlignment="1">
      <alignment horizontal="center" vertical="center"/>
    </xf>
    <xf numFmtId="4" fontId="55" fillId="2" borderId="36" xfId="0" applyNumberFormat="1" applyFont="1" applyFill="1" applyBorder="1" applyAlignment="1">
      <alignment vertical="center" wrapText="1"/>
    </xf>
    <xf numFmtId="0" fontId="56" fillId="2" borderId="36" xfId="0" applyFont="1" applyFill="1" applyBorder="1" applyAlignment="1">
      <alignment horizontal="center" vertical="center"/>
    </xf>
    <xf numFmtId="4" fontId="56" fillId="2" borderId="36" xfId="0" applyNumberFormat="1" applyFont="1" applyFill="1" applyBorder="1" applyAlignment="1">
      <alignment horizontal="right" vertical="center"/>
    </xf>
    <xf numFmtId="171" fontId="14" fillId="2" borderId="36" xfId="0" applyNumberFormat="1" applyFont="1" applyFill="1" applyBorder="1" applyAlignment="1">
      <alignment horizontal="right" vertical="center"/>
    </xf>
    <xf numFmtId="171" fontId="14" fillId="2" borderId="5" xfId="0" applyNumberFormat="1" applyFont="1" applyFill="1" applyBorder="1" applyAlignment="1">
      <alignment horizontal="right" vertical="center"/>
    </xf>
    <xf numFmtId="3" fontId="55" fillId="2" borderId="16" xfId="0" applyNumberFormat="1" applyFont="1" applyFill="1" applyBorder="1" applyAlignment="1">
      <alignment horizontal="center" vertical="center"/>
    </xf>
    <xf numFmtId="0" fontId="55" fillId="2" borderId="36" xfId="0" applyFont="1" applyFill="1" applyBorder="1" applyAlignment="1">
      <alignment horizontal="center" vertical="center"/>
    </xf>
    <xf numFmtId="4" fontId="55" fillId="0" borderId="36" xfId="0" applyNumberFormat="1" applyFont="1" applyFill="1" applyBorder="1" applyAlignment="1">
      <alignment horizontal="right" vertical="center"/>
    </xf>
    <xf numFmtId="9" fontId="55" fillId="0" borderId="36" xfId="86" applyFont="1" applyFill="1" applyBorder="1" applyAlignment="1">
      <alignment horizontal="right" vertical="center"/>
    </xf>
    <xf numFmtId="9" fontId="55" fillId="0" borderId="5" xfId="86" applyFont="1" applyFill="1" applyBorder="1" applyAlignment="1">
      <alignment horizontal="right" vertical="center"/>
    </xf>
    <xf numFmtId="9" fontId="55" fillId="0" borderId="28" xfId="86" applyFont="1" applyFill="1" applyBorder="1" applyAlignment="1">
      <alignment horizontal="right" vertical="center"/>
    </xf>
    <xf numFmtId="10" fontId="75" fillId="2" borderId="0" xfId="86" applyNumberFormat="1" applyFont="1" applyFill="1"/>
    <xf numFmtId="4" fontId="76" fillId="2" borderId="0" xfId="0" applyNumberFormat="1" applyFont="1" applyFill="1" applyBorder="1" applyAlignment="1">
      <alignment horizontal="center" vertical="center"/>
    </xf>
    <xf numFmtId="0" fontId="76" fillId="2" borderId="0" xfId="0" applyFont="1" applyFill="1" applyBorder="1" applyAlignment="1">
      <alignment horizontal="center"/>
    </xf>
    <xf numFmtId="4" fontId="76" fillId="0" borderId="0" xfId="0" applyNumberFormat="1" applyFont="1" applyBorder="1" applyAlignment="1">
      <alignment horizontal="center"/>
    </xf>
    <xf numFmtId="0" fontId="76" fillId="0" borderId="0" xfId="0" applyFont="1" applyAlignment="1">
      <alignment horizontal="center"/>
    </xf>
    <xf numFmtId="0" fontId="77" fillId="0" borderId="0" xfId="0" applyFont="1"/>
    <xf numFmtId="0" fontId="77" fillId="0" borderId="0" xfId="0" applyFont="1" applyAlignment="1">
      <alignment wrapText="1"/>
    </xf>
    <xf numFmtId="0" fontId="77" fillId="0" borderId="0" xfId="0" applyFont="1" applyAlignment="1">
      <alignment horizontal="center"/>
    </xf>
    <xf numFmtId="0" fontId="78" fillId="0" borderId="0" xfId="0" applyFont="1"/>
    <xf numFmtId="10" fontId="78" fillId="0" borderId="0" xfId="0" applyNumberFormat="1" applyFont="1" applyFill="1"/>
    <xf numFmtId="10" fontId="72" fillId="0" borderId="0" xfId="0" applyNumberFormat="1" applyFont="1" applyFill="1"/>
    <xf numFmtId="4" fontId="79" fillId="0" borderId="0" xfId="0" applyNumberFormat="1" applyFont="1" applyAlignment="1">
      <alignment horizontal="right"/>
    </xf>
    <xf numFmtId="0" fontId="80" fillId="0" borderId="0" xfId="0" applyFont="1"/>
    <xf numFmtId="0" fontId="81" fillId="0" borderId="0" xfId="0" applyFont="1"/>
    <xf numFmtId="170" fontId="71" fillId="2" borderId="36" xfId="88" applyNumberFormat="1" applyFont="1" applyFill="1" applyBorder="1" applyAlignment="1">
      <alignment horizontal="center" wrapText="1"/>
    </xf>
    <xf numFmtId="170" fontId="71" fillId="2" borderId="36" xfId="88" applyNumberFormat="1" applyFont="1" applyFill="1" applyBorder="1" applyAlignment="1">
      <alignment horizontal="center" vertical="center" wrapText="1"/>
    </xf>
    <xf numFmtId="9" fontId="71" fillId="2" borderId="36" xfId="88" applyNumberFormat="1" applyFont="1" applyFill="1" applyBorder="1"/>
    <xf numFmtId="174" fontId="71" fillId="2" borderId="5" xfId="85" applyNumberFormat="1" applyFont="1" applyFill="1" applyBorder="1" applyAlignment="1">
      <alignment horizontal="left"/>
    </xf>
    <xf numFmtId="0" fontId="71" fillId="2" borderId="20" xfId="85" applyFont="1" applyFill="1" applyBorder="1" applyAlignment="1">
      <alignment horizontal="center" vertical="center"/>
    </xf>
    <xf numFmtId="4" fontId="18" fillId="2" borderId="28" xfId="0" applyNumberFormat="1" applyFont="1" applyFill="1" applyBorder="1" applyAlignment="1">
      <alignment horizontal="right" vertical="center"/>
    </xf>
    <xf numFmtId="0" fontId="82" fillId="0" borderId="0" xfId="0" applyFont="1" applyFill="1" applyBorder="1"/>
    <xf numFmtId="0" fontId="83" fillId="0" borderId="0" xfId="0" applyFont="1" applyFill="1" applyBorder="1"/>
    <xf numFmtId="0" fontId="82" fillId="16" borderId="0" xfId="0" applyFont="1" applyFill="1" applyBorder="1"/>
    <xf numFmtId="0" fontId="82" fillId="2" borderId="0" xfId="0" applyFont="1" applyFill="1" applyBorder="1"/>
    <xf numFmtId="3" fontId="84" fillId="0" borderId="0" xfId="0" applyNumberFormat="1" applyFont="1" applyFill="1" applyBorder="1"/>
    <xf numFmtId="0" fontId="83" fillId="0" borderId="36" xfId="0" applyFont="1" applyFill="1" applyBorder="1"/>
    <xf numFmtId="0" fontId="82" fillId="16" borderId="36" xfId="0" applyFont="1" applyFill="1" applyBorder="1"/>
    <xf numFmtId="0" fontId="82" fillId="16" borderId="36" xfId="0" applyFont="1" applyFill="1" applyBorder="1" applyAlignment="1">
      <alignment horizontal="right"/>
    </xf>
    <xf numFmtId="10" fontId="82" fillId="16" borderId="36" xfId="0" applyNumberFormat="1" applyFont="1" applyFill="1" applyBorder="1" applyAlignment="1">
      <alignment horizontal="right"/>
    </xf>
    <xf numFmtId="3" fontId="82" fillId="16" borderId="36" xfId="0" applyNumberFormat="1" applyFont="1" applyFill="1" applyBorder="1" applyAlignment="1">
      <alignment horizontal="right"/>
    </xf>
    <xf numFmtId="0" fontId="82" fillId="0" borderId="36" xfId="0" applyFont="1" applyFill="1" applyBorder="1"/>
    <xf numFmtId="0" fontId="82" fillId="0" borderId="36" xfId="0" applyFont="1" applyFill="1" applyBorder="1" applyAlignment="1">
      <alignment horizontal="right"/>
    </xf>
    <xf numFmtId="9" fontId="82" fillId="0" borderId="36" xfId="0" applyNumberFormat="1" applyFont="1" applyFill="1" applyBorder="1" applyAlignment="1">
      <alignment horizontal="right"/>
    </xf>
    <xf numFmtId="3" fontId="82" fillId="0" borderId="36" xfId="0" applyNumberFormat="1" applyFont="1" applyFill="1" applyBorder="1" applyAlignment="1">
      <alignment horizontal="right"/>
    </xf>
    <xf numFmtId="0" fontId="82" fillId="21" borderId="36" xfId="0" applyFont="1" applyFill="1" applyBorder="1"/>
    <xf numFmtId="0" fontId="82" fillId="21" borderId="36" xfId="0" applyFont="1" applyFill="1" applyBorder="1" applyAlignment="1">
      <alignment horizontal="right"/>
    </xf>
    <xf numFmtId="3" fontId="83" fillId="21" borderId="36" xfId="0" applyNumberFormat="1" applyFont="1" applyFill="1" applyBorder="1" applyAlignment="1">
      <alignment horizontal="right"/>
    </xf>
    <xf numFmtId="0" fontId="82" fillId="17" borderId="36" xfId="0" applyFont="1" applyFill="1" applyBorder="1"/>
    <xf numFmtId="0" fontId="82" fillId="17" borderId="36" xfId="0" applyFont="1" applyFill="1" applyBorder="1" applyAlignment="1">
      <alignment horizontal="right"/>
    </xf>
    <xf numFmtId="3" fontId="83" fillId="17" borderId="36" xfId="0" applyNumberFormat="1" applyFont="1" applyFill="1" applyBorder="1" applyAlignment="1">
      <alignment horizontal="right"/>
    </xf>
    <xf numFmtId="3" fontId="83" fillId="16" borderId="36" xfId="0" applyNumberFormat="1" applyFont="1" applyFill="1" applyBorder="1" applyAlignment="1">
      <alignment horizontal="right"/>
    </xf>
    <xf numFmtId="3" fontId="83" fillId="0" borderId="36" xfId="0" applyNumberFormat="1" applyFont="1" applyFill="1" applyBorder="1" applyAlignment="1">
      <alignment horizontal="right"/>
    </xf>
    <xf numFmtId="3" fontId="83" fillId="0" borderId="36" xfId="0" applyNumberFormat="1" applyFont="1" applyFill="1" applyBorder="1"/>
    <xf numFmtId="0" fontId="83" fillId="23" borderId="36" xfId="0" applyFont="1" applyFill="1" applyBorder="1"/>
    <xf numFmtId="3" fontId="82" fillId="23" borderId="36" xfId="0" applyNumberFormat="1" applyFont="1" applyFill="1" applyBorder="1" applyAlignment="1">
      <alignment horizontal="right"/>
    </xf>
    <xf numFmtId="3" fontId="83" fillId="23" borderId="36" xfId="0" applyNumberFormat="1" applyFont="1" applyFill="1" applyBorder="1" applyAlignment="1">
      <alignment horizontal="right"/>
    </xf>
    <xf numFmtId="3" fontId="83" fillId="2" borderId="36" xfId="0" applyNumberFormat="1" applyFont="1" applyFill="1" applyBorder="1"/>
    <xf numFmtId="9" fontId="71" fillId="2" borderId="36" xfId="88" applyNumberFormat="1" applyFont="1" applyFill="1" applyBorder="1" applyAlignment="1">
      <alignment horizontal="right" wrapText="1"/>
    </xf>
    <xf numFmtId="4" fontId="14" fillId="15" borderId="27" xfId="0" applyNumberFormat="1" applyFont="1" applyFill="1" applyBorder="1" applyAlignment="1">
      <alignment horizontal="center" vertical="center"/>
    </xf>
    <xf numFmtId="4" fontId="14" fillId="2" borderId="28" xfId="5" applyNumberFormat="1" applyFont="1" applyFill="1" applyBorder="1" applyAlignment="1" applyProtection="1">
      <alignment horizontal="center" vertical="center"/>
    </xf>
    <xf numFmtId="172" fontId="14" fillId="2" borderId="28" xfId="0" applyNumberFormat="1" applyFont="1" applyFill="1" applyBorder="1" applyAlignment="1">
      <alignment horizontal="center" vertical="center"/>
    </xf>
    <xf numFmtId="169" fontId="14" fillId="2" borderId="29" xfId="0" applyNumberFormat="1" applyFont="1" applyFill="1" applyBorder="1" applyAlignment="1">
      <alignment horizontal="center" vertical="center"/>
    </xf>
    <xf numFmtId="4" fontId="54" fillId="14" borderId="38" xfId="0" applyNumberFormat="1" applyFont="1" applyFill="1" applyBorder="1"/>
    <xf numFmtId="4" fontId="45" fillId="2" borderId="39" xfId="0" applyNumberFormat="1" applyFont="1" applyFill="1" applyBorder="1" applyAlignment="1">
      <alignment horizontal="right" vertical="top"/>
    </xf>
    <xf numFmtId="4" fontId="45" fillId="2" borderId="9" xfId="0" applyNumberFormat="1" applyFont="1" applyFill="1" applyBorder="1" applyAlignment="1">
      <alignment horizontal="right" vertical="top"/>
    </xf>
    <xf numFmtId="4" fontId="54" fillId="14" borderId="35" xfId="0" applyNumberFormat="1" applyFont="1" applyFill="1" applyBorder="1"/>
    <xf numFmtId="41" fontId="85" fillId="16" borderId="36" xfId="0" applyNumberFormat="1" applyFont="1" applyFill="1" applyBorder="1" applyAlignment="1" applyProtection="1">
      <alignment horizontal="center" vertical="center"/>
    </xf>
    <xf numFmtId="41" fontId="85" fillId="16" borderId="36" xfId="0" applyNumberFormat="1" applyFont="1" applyFill="1" applyBorder="1" applyAlignment="1" applyProtection="1">
      <alignment horizontal="center"/>
    </xf>
    <xf numFmtId="3" fontId="82" fillId="24" borderId="36" xfId="0" applyNumberFormat="1" applyFont="1" applyFill="1" applyBorder="1" applyAlignment="1">
      <alignment horizontal="right"/>
    </xf>
    <xf numFmtId="4" fontId="43" fillId="2" borderId="24" xfId="0" applyNumberFormat="1" applyFont="1" applyFill="1" applyBorder="1" applyAlignment="1">
      <alignment horizontal="center" vertical="top"/>
    </xf>
    <xf numFmtId="4" fontId="43" fillId="2" borderId="21" xfId="0" applyNumberFormat="1" applyFont="1" applyFill="1" applyBorder="1" applyAlignment="1">
      <alignment horizontal="center" vertical="top"/>
    </xf>
    <xf numFmtId="4" fontId="43" fillId="2" borderId="46" xfId="0" applyNumberFormat="1" applyFont="1" applyFill="1" applyBorder="1" applyAlignment="1">
      <alignment horizontal="center" vertical="top"/>
    </xf>
    <xf numFmtId="4" fontId="43" fillId="2" borderId="31" xfId="0" applyNumberFormat="1" applyFont="1" applyFill="1" applyBorder="1" applyAlignment="1">
      <alignment horizontal="center" vertical="top"/>
    </xf>
    <xf numFmtId="4" fontId="43" fillId="2" borderId="24" xfId="0" applyNumberFormat="1" applyFont="1" applyFill="1" applyBorder="1" applyAlignment="1">
      <alignment horizontal="center" vertical="center"/>
    </xf>
    <xf numFmtId="4" fontId="43" fillId="2" borderId="21" xfId="0" applyNumberFormat="1" applyFont="1" applyFill="1" applyBorder="1" applyAlignment="1">
      <alignment horizontal="center" vertical="center"/>
    </xf>
    <xf numFmtId="4" fontId="43" fillId="2" borderId="46" xfId="0" applyNumberFormat="1" applyFont="1" applyFill="1" applyBorder="1" applyAlignment="1">
      <alignment horizontal="center" vertical="center"/>
    </xf>
    <xf numFmtId="4" fontId="43" fillId="2" borderId="31" xfId="0" applyNumberFormat="1" applyFont="1" applyFill="1" applyBorder="1" applyAlignment="1">
      <alignment horizontal="center" vertical="center"/>
    </xf>
    <xf numFmtId="4" fontId="47" fillId="2" borderId="24" xfId="0" applyNumberFormat="1" applyFont="1" applyFill="1" applyBorder="1" applyAlignment="1">
      <alignment horizontal="center" vertical="center"/>
    </xf>
    <xf numFmtId="4" fontId="47" fillId="2" borderId="21" xfId="0" applyNumberFormat="1" applyFont="1" applyFill="1" applyBorder="1" applyAlignment="1">
      <alignment horizontal="center" vertical="center"/>
    </xf>
    <xf numFmtId="4" fontId="47" fillId="2" borderId="46" xfId="0" applyNumberFormat="1" applyFont="1" applyFill="1" applyBorder="1" applyAlignment="1">
      <alignment horizontal="center" vertical="center"/>
    </xf>
    <xf numFmtId="4" fontId="47" fillId="2" borderId="31" xfId="0" applyNumberFormat="1" applyFont="1" applyFill="1" applyBorder="1" applyAlignment="1">
      <alignment horizontal="center" vertical="center"/>
    </xf>
    <xf numFmtId="4" fontId="42" fillId="2" borderId="0" xfId="0" applyNumberFormat="1" applyFont="1" applyFill="1" applyBorder="1" applyAlignment="1">
      <alignment horizontal="center" wrapText="1"/>
    </xf>
    <xf numFmtId="3" fontId="15" fillId="0" borderId="13" xfId="0" applyNumberFormat="1" applyFont="1" applyFill="1" applyBorder="1" applyAlignment="1">
      <alignment horizontal="center" vertical="center" wrapText="1"/>
    </xf>
    <xf numFmtId="3" fontId="15" fillId="0" borderId="16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 wrapText="1"/>
    </xf>
    <xf numFmtId="4" fontId="15" fillId="0" borderId="36" xfId="0" applyNumberFormat="1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72" fontId="83" fillId="0" borderId="36" xfId="0" applyNumberFormat="1" applyFont="1" applyFill="1" applyBorder="1"/>
    <xf numFmtId="174" fontId="71" fillId="25" borderId="5" xfId="88" applyNumberFormat="1" applyFont="1" applyFill="1" applyBorder="1"/>
    <xf numFmtId="43" fontId="71" fillId="25" borderId="36" xfId="88" applyFont="1" applyFill="1" applyBorder="1"/>
  </cellXfs>
  <cellStyles count="92">
    <cellStyle name=" 1" xfId="13"/>
    <cellStyle name=" 1 2" xfId="14"/>
    <cellStyle name=" 1_Stage1" xfId="15"/>
    <cellStyle name="_Model_RAB Мой_PR.PROG.WARM.NOTCOMBI.2012.2.16_v1.4(04.04.11) " xfId="16"/>
    <cellStyle name="_Model_RAB Мой_Книга2_PR.PROG.WARM.NOTCOMBI.2012.2.16_v1.4(04.04.11) " xfId="17"/>
    <cellStyle name="_Model_RAB_MRSK_svod_PR.PROG.WARM.NOTCOMBI.2012.2.16_v1.4(04.04.11) " xfId="18"/>
    <cellStyle name="_Model_RAB_MRSK_svod_Книга2_PR.PROG.WARM.NOTCOMBI.2012.2.16_v1.4(04.04.11) " xfId="19"/>
    <cellStyle name="_МОДЕЛЬ_1 (2)_PR.PROG.WARM.NOTCOMBI.2012.2.16_v1.4(04.04.11) " xfId="20"/>
    <cellStyle name="_МОДЕЛЬ_1 (2)_Книга2_PR.PROG.WARM.NOTCOMBI.2012.2.16_v1.4(04.04.11) " xfId="21"/>
    <cellStyle name="_пр 5 тариф RAB_PR.PROG.WARM.NOTCOMBI.2012.2.16_v1.4(04.04.11) " xfId="22"/>
    <cellStyle name="_пр 5 тариф RAB_Книга2_PR.PROG.WARM.NOTCOMBI.2012.2.16_v1.4(04.04.11) " xfId="23"/>
    <cellStyle name="_Расчет RAB_22072008_PR.PROG.WARM.NOTCOMBI.2012.2.16_v1.4(04.04.11) " xfId="24"/>
    <cellStyle name="_Расчет RAB_22072008_Книга2_PR.PROG.WARM.NOTCOMBI.2012.2.16_v1.4(04.04.11) " xfId="25"/>
    <cellStyle name="_Расчет RAB_Лен и МОЭСК_с 2010 года_14.04.2009_со сглаж_version 3.0_без ФСК_PR.PROG.WARM.NOTCOMBI.2012.2.16_v1.4(04.04.11) " xfId="26"/>
    <cellStyle name="_Расчет RAB_Лен и МОЭСК_с 2010 года_14.04.2009_со сглаж_version 3.0_без ФСК_Книга2_PR.PROG.WARM.NOTCOMBI.2012.2.16_v1.4(04.04.11) " xfId="27"/>
    <cellStyle name="Currency [0]" xfId="28"/>
    <cellStyle name="Currency2" xfId="29"/>
    <cellStyle name="Followed Hyperlink" xfId="30"/>
    <cellStyle name="Formuls" xfId="6"/>
    <cellStyle name="Header" xfId="4"/>
    <cellStyle name="Hyperlink" xfId="31"/>
    <cellStyle name="normal" xfId="32"/>
    <cellStyle name="Normal1" xfId="33"/>
    <cellStyle name="Normal2" xfId="34"/>
    <cellStyle name="Percent1" xfId="35"/>
    <cellStyle name="TableStyleLight1" xfId="57"/>
    <cellStyle name="Title 2" xfId="3"/>
    <cellStyle name="Ввод  2" xfId="36"/>
    <cellStyle name="Гиперссылка 2" xfId="37"/>
    <cellStyle name="Гиперссылка 2 2" xfId="38"/>
    <cellStyle name="Денежный 2" xfId="56"/>
    <cellStyle name="ЗаголовокСтолбца" xfId="39"/>
    <cellStyle name="Значение" xfId="8"/>
    <cellStyle name="Обычный" xfId="0" builtinId="0"/>
    <cellStyle name="Обычный 10" xfId="5"/>
    <cellStyle name="Обычный 11" xfId="9"/>
    <cellStyle name="Обычный 11 2" xfId="51"/>
    <cellStyle name="Обычный 11 2 2" xfId="79"/>
    <cellStyle name="Обычный 11 3" xfId="64"/>
    <cellStyle name="Обычный 12" xfId="54"/>
    <cellStyle name="Обычный 12 2" xfId="82"/>
    <cellStyle name="Обычный 12 3 2" xfId="7"/>
    <cellStyle name="Обычный 13" xfId="61"/>
    <cellStyle name="Обычный 14" xfId="11"/>
    <cellStyle name="Обычный 17" xfId="84"/>
    <cellStyle name="Обычный 2" xfId="1"/>
    <cellStyle name="Обычный 2 2" xfId="55"/>
    <cellStyle name="Обычный 2 3" xfId="59"/>
    <cellStyle name="Обычный 2 4" xfId="60"/>
    <cellStyle name="Обычный 2 7" xfId="65"/>
    <cellStyle name="Обычный 2_13 09 24 Баланс (3)" xfId="66"/>
    <cellStyle name="Обычный 3" xfId="10"/>
    <cellStyle name="Обычный 3 2" xfId="40"/>
    <cellStyle name="Обычный 3 3" xfId="68"/>
    <cellStyle name="Обычный 3 4" xfId="67"/>
    <cellStyle name="Обычный 3 5" xfId="70"/>
    <cellStyle name="Обычный 3 6" xfId="85"/>
    <cellStyle name="Обычный 3 7" xfId="74"/>
    <cellStyle name="Обычный 3 8" xfId="71"/>
    <cellStyle name="Обычный 4" xfId="42"/>
    <cellStyle name="Обычный 5" xfId="2"/>
    <cellStyle name="Обычный 5 2" xfId="48"/>
    <cellStyle name="Обычный 5 2 2" xfId="76"/>
    <cellStyle name="Обычный 6" xfId="43"/>
    <cellStyle name="Обычный 6 2" xfId="52"/>
    <cellStyle name="Обычный 6 2 2" xfId="80"/>
    <cellStyle name="Обычный 6 3" xfId="72"/>
    <cellStyle name="Обычный 7" xfId="46"/>
    <cellStyle name="Обычный 7 2" xfId="75"/>
    <cellStyle name="Обычный 8" xfId="49"/>
    <cellStyle name="Обычный 8 2" xfId="77"/>
    <cellStyle name="Обычный 9" xfId="50"/>
    <cellStyle name="Обычный 9 2" xfId="78"/>
    <cellStyle name="Процентный" xfId="86" builtinId="5"/>
    <cellStyle name="Процентный 2 2 2" xfId="91"/>
    <cellStyle name="Процентный 2 2 3" xfId="90"/>
    <cellStyle name="Финансовый" xfId="87" builtinId="3"/>
    <cellStyle name="Финансовый 2" xfId="12"/>
    <cellStyle name="Финансовый 2 2" xfId="69"/>
    <cellStyle name="Финансовый 2 2 2" xfId="88"/>
    <cellStyle name="Финансовый 2 2 3" xfId="89"/>
    <cellStyle name="Финансовый 3" xfId="44"/>
    <cellStyle name="Финансовый 3 2" xfId="53"/>
    <cellStyle name="Финансовый 3 2 2" xfId="81"/>
    <cellStyle name="Финансовый 3 3" xfId="73"/>
    <cellStyle name="Финансовый 4" xfId="45"/>
    <cellStyle name="Финансовый 5" xfId="47"/>
    <cellStyle name="Финансовый 6" xfId="58"/>
    <cellStyle name="Финансовый 6 2" xfId="83"/>
    <cellStyle name="Финансовый 7" xfId="62"/>
    <cellStyle name="Финансовый 8" xfId="63"/>
    <cellStyle name="Формула" xfId="4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00FF"/>
      <color rgb="FF0033CC"/>
      <color rgb="FF000099"/>
      <color rgb="FFFFFF99"/>
      <color rgb="FFFFFFCC"/>
      <color rgb="FFFFCCCC"/>
      <color rgb="FFCCFFCC"/>
      <color rgb="FFCCCCFF"/>
      <color rgb="FFDB93D2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G02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010\rst\2_&#1059;&#1087;&#1088;&#1072;&#1074;&#1083;&#1077;&#1085;&#1080;&#1077;%20&#1101;&#1085;&#1077;&#1088;&#1075;&#1077;&#1090;&#1080;&#1082;&#1080;\&#1059;&#1087;&#1088;&#1072;&#1074;&#1083;&#1077;&#1085;&#1080;&#1077;\&#1058;&#1072;&#1088;&#1080;&#1092;&#1085;&#1072;&#1103;%20&#1082;&#1072;&#1084;&#1087;&#1072;&#1085;&#1080;&#1103;\2016\&#1054;&#1041;&#1056;&#1040;&#1047;&#1045;&#1062;%20&#1056;&#1040;&#1057;&#1063;&#1045;&#1058;&#1040;\&#1044;&#1040;&#1043;\&#1056;&#1072;&#1073;&#1086;&#1095;&#1080;&#1077;%20&#1044;&#1040;&#1043;\&#1054;&#1090;&#1095;&#1077;&#1090;&#1099;%20&#1087;&#1086;%20&#1096;&#1072;&#1073;&#1083;&#1086;&#1085;&#1091;%20&#1052;&#1048;&#1059;&#1058;\WARM%20CALC%20INDEX%202015(v1.xlsm%2010.10.2014%20&#1075;&#1086;&#1076;(v1.2.3)%20-%20&#1043;&#1057;%20(1).BKP.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42;&#1054;&#1044;&#1054;&#1054;&#1058;&#1042;&#1045;&#1044;&#1045;&#1053;&#1048;&#1045;\2015%20&#1056;&#1057;&#1058;\&#1050;&#1086;&#1087;&#1080;&#1103;%20CALC.TARIFF.VO.5.8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1;&#1102;&#1076;&#1078;&#1077;&#1090;&#1085;&#1072;&#1103;_&#1086;&#1090;&#1095;&#1077;&#1090;&#1085;&#1086;&#1089;&#1090;&#1100;1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77;&#1088;&#1077;&#1095;&#1077;&#1085;&#1100;_&#1080;&#1084;&#1091;&#1097;&#1077;&#1089;&#1090;&#1074;&#1072;(&#1076;&#1074;&#1080;&#1078;&#1080;&#1084;&#1086;&#1075;&#1086;_&#1080;&#1084;&#1091;&#1097;&#1077;&#1089;&#1090;&#1074;&#1072;)_&#1074;_&#1072;&#1088;&#1077;&#1085;&#1076;&#1091;(&#1080;&#1079;_&#1072;&#1088;&#1077;&#1085;&#1076;&#1099;)1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Documents\project\Bashneft\&#1079;&#1072;&#1087;&#1088;&#1086;&#1089;\&#1044;&#1086;&#1087;&#1086;&#1083;&#1085;&#1080;&#1090;&#1077;&#1083;&#1100;&#1085;&#1099;&#1077;%20&#1088;&#1072;&#1089;&#1096;&#1080;&#1092;&#1088;&#1086;&#1074;&#1082;&#1080;\&#1041;&#1072;&#1096;&#1085;&#1077;&#1092;&#1090;&#1100;-&#1048;&#1096;&#1080;&#1084;&#1073;&#1072;&#1081;\2%20&#1082;&#1074;%202009%20&#1054;&#1054;&#1054;%20&#1048;&#1059;&#1055;&#1050;&#1056;&#1057;%20&#1053;&#1077;&#1080;&#1089;&#1087;&#1086;&#1083;&#1100;&#1079;&#1086;&#1074;&#1072;&#1085;&#1085;&#1099;&#1077;%20&#1086;&#1090;&#1087;&#1091;&#1089;&#1082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40;&#1088;&#1077;&#1085;&#1076;&#1072;%20-%20&#1059;&#1053;\&#1050;&#1091;&#1088;&#1072;&#1089;&#1082;&#1086;&#1074;&#1089;&#1082;&#1086;&#1077;%20&#1059;&#1058;&#1058;\&#1050;&#1059;&#1058;&#1058;%20-%202008&#1075;\&#1050;&#1059;&#1058;&#1058;%20&#1085;&#1072;%2001.04.08%20(&#1044;.&#1089;.2%20&#1048;&#1084;%20(&#1059;)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MiniakhmetovaAKH.FBU\&#1056;&#1072;&#1073;&#1086;&#1095;&#1080;&#1081;%20&#1089;&#1090;&#1086;&#1083;\&#1054;&#1054;&#1058;&#1080;&#1047;\&#1064;&#1090;&#1072;&#1090;&#1085;&#1072;&#1103;%20&#1088;&#1072;&#1089;&#1089;&#1090;&#1072;&#1085;&#1086;&#1074;&#1082;&#1072;%20&#1092;&#1080;&#1083;&#1080;&#1072;&#1083;&#1072;%20&#1041;&#1053;%20&#1059;&#109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BukhvalovaMV\Local%20Settings\Temporary%20Internet%20Files\OLK28\&#1064;&#1090;&#1072;&#1090;&#1085;&#1086;&#1077;%20&#1088;&#1072;&#1089;&#1087;&#1080;&#1089;&#1072;&#1085;&#1080;&#1077;%2001.08.2009&#1075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$&#1055;&#1077;&#1088;&#1077;&#1095;&#1077;&#1085;&#1100;_&#1076;&#1074;&#1080;&#1078;&#1080;&#1084;&#1086;&#1075;&#1086;_&#1080;&#1084;&#1091;&#1097;&#1077;&#1089;&#1090;&#1074;&#1072;_&#1082;_&#1087;&#1086;&#1089;&#1090;&#1088;&#1086;&#1080;&#1090;&#1077;&#1083;&#1102;_&#1086;&#1090;&#1095;&#1077;&#1090;&#1085;&#1099;&#1093;_&#1092;&#1086;&#1088;&#1084;_&#1089;&#1087;&#1077;&#1094;&#1080;&#1092;&#1080;&#1082;&#1072;&#1094;&#1080;&#1081;1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3;&#1088;&#1091;&#1087;&#1087;&#1099;%20&#1054;&#105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6;&#1083;&#1100;&#1079;&#1086;&#1074;&#1072;&#1090;&#1077;&#1083;&#1080;\&#1052;&#1072;&#1088;&#1090;&#1099;&#1085;&#1086;&#1074;&#1056;&#1042;\2009%20&#1092;&#1072;&#1082;&#1090;%20&#1076;&#1083;&#1103;%20&#1089;&#1074;&#1086;&#1076;&#1072;\&#1074;&#1089;\&#1058;&#1086;&#1073;&#1086;&#1083;&#1100;&#1089;&#1082;e.vodosn.2009.fact_v1.0_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GAAP%20&#1054;&#1089;&#1085;&#1086;&#1074;&#1085;&#1099;&#1077;%20&#1089;&#1088;&#1077;&#1076;&#1089;&#1090;&#1074;&#1072;1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CFO\Fixed%20assets\_Reports%20from%20Bogdanova\12m2004\2004%2012%20-%2040%20&#1043;&#1054;&#1060;%20&#1058;&#1086;&#1084;&#1091;&#1089;&#1080;&#1085;&#1089;&#1082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&#1052;&#1086;&#1080;%20&#1076;&#1086;&#1082;&#1091;&#1084;&#1077;&#1085;&#1090;&#1099;\&#1087;&#1086;&#1095;&#1090;&#1072;%20&#1086;&#1090;%20&#1063;&#1077;&#1088;&#1085;&#1103;&#1077;&#1074;&#1086;&#1081;\&#1054;%20146%20&#1047;&#1057;&#1052;&#105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&#1047;&#1040;&#1071;&#1042;&#1050;&#1048;\&#1053;&#1086;&#1074;&#1099;&#1077;\&#1054;%2095%20&#1051;&#1072;&#1085;&#1075;&#1077;&#1087;&#1072;&#1089;&#1053;&#104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CFO\US%20GAAP%20All\Transformation\Mechel\6m%202005\Support\GeneralLedger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160-MTK%20Cash%20testing%20as%20of%2031%2012%202008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50%20Inventories%20testing%2031%2012%202007%20-%20MOEK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460-MTK%20Inventories%20testing%2031%2012%202008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340%20Accounts%20receivables_1999%20KAV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140-XXXX%20Cash%20IAS%20Review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ikeevaYuAl\AppData\Local\Microsoft\Windows\Temporary%20Internet%20Files\Content.Outlook\EGRP72L6\&#1058;&#1102;&#1084;&#1077;&#1085;&#1089;&#1082;&#1080;&#1081;%20&#1043;&#1086;&#1088;&#1100;&#1082;&#1086;&#1074;&#1082;&#1072;%20BALANCE%20CALC%20TARIFF%20VSNA%202013%20PLAN_(v1%200%202)_(v1%200%203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nikeevaYuAl\Downloads\&#1050;&#1086;&#1085;&#1090;&#1088;&#1086;&#1083;&#1100;%20&#1055;&#1055;%20&#1079;&#1072;%202013%20&#1075;&#1086;&#1076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ocuments%20and%20Settings\Nash_OTIZ\Application%20Data\Microsoft\Excel\&#1088;&#1072;&#1089;&#1095;&#1077;&#1090;_&#1086;&#1073;&#1097;&#1077;&#1093;&#1086;&#1079;&#1103;&#1081;&#1089;&#1090;&#1074;&#1077;&#1085;&#1085;&#1099;&#1093;%20(version%201).xlsb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neft-ibm2\&#1101;&#1082;&#1086;&#1085;&#1086;&#1084;&#1080;&#1089;&#1090;&#1099;\Planoviki\&#1040;&#1056;&#1045;&#1053;&#1044;&#1040;%202008\&#1050;&#1059;&#1040;&#1053;\&#1044;%20&#1057;%20%20%201%20&#1050;&#1059;&#1053;&#1057;&#1052;%20&#1085;&#1072;%2001%2003%202008&#1075;%2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82;&#1072;&#1079;&#1099;&#1084;\&#1090;&#1077;&#1087;&#1083;&#1086;_&#1082;&#1072;&#1079;&#1099;&#1084;\&#1090;&#1077;&#1087;&#1083;&#1086;_2016_2017_2018\&#1073;&#1072;&#1085;&#1103;\&#1076;&#1086;&#1082;&#1091;&#1084;&#1077;&#1085;&#1090;&#1099;%20&#1058;&#1072;&#1085;&#1103;\&#1090;&#1072;&#1088;&#1080;&#1092;&#1099;\&#1055;&#1086;&#1083;&#1085;&#1086;&#1074;&#1072;&#1090;_2014\&#1090;&#1077;&#1087;&#1083;&#1086;\&#1058;&#1077;&#1087;&#1083;&#1086;_2014_&#1055;&#1086;&#1083;&#1085;&#1086;&#1074;&#1072;&#1090;_&#1089;_&#1072;&#1088;&#1077;&#1085;&#1076;&#1086;&#1081;_&#1050;&#1052;&#1057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82;&#1072;&#1079;&#1099;&#1084;\&#1090;&#1077;&#1087;&#1083;&#1086;_&#1082;&#1072;&#1079;&#1099;&#1084;\&#1090;&#1077;&#1087;&#1083;&#1086;_2016_2017_2018\&#1073;&#1072;&#1085;&#1103;\&#1076;&#1086;&#1082;&#1091;&#1084;&#1077;&#1085;&#1090;&#1099;%20&#1058;&#1072;&#1085;&#1103;\&#1090;&#1072;&#1088;&#1080;&#1092;&#1099;\&#1042;&#1072;&#1085;&#1079;&#1077;&#1074;&#1072;&#1090;\2014\&#1058;&#1077;&#1087;&#1083;&#1086;_2014_&#1042;&#1072;&#1085;&#1079;&#1077;&#1074;&#1072;&#1090;_&#1089;_&#1072;&#1088;&#1077;&#1085;&#1076;&#1086;&#1081;_&#1050;&#1052;&#105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GultyaevaEV\Documents\1.%20&#1059;&#1089;&#1090;&#1072;&#1085;&#1086;&#1074;&#1083;&#1077;&#1085;&#1080;&#1077;%20&#1090;&#1072;&#1088;&#1080;&#1092;&#1086;&#1074;\&#1085;&#1072;%202014%20&#1075;&#1086;&#1076;\1.%20&#1042;&#1057;%20&#1080;%20&#1042;&#1054;\&#1050;&#1086;&#1087;&#1080;&#1103;%20&#1060;&#1086;&#1088;&#1084;&#1072;%20&#1096;&#1072;&#1073;&#1083;&#1086;&#1085;&#1072;%20&#1055;&#1088;&#1086;&#1080;&#1079;&#1074;&#1086;&#1076;&#1089;&#1090;&#1074;&#1077;&#1085;&#1085;&#1072;&#1103;%20&#1087;&#1088;&#1086;&#1075;&#1088;&#1072;&#1084;&#1084;&#1072;%20-%20&#1089;%20&#1091;&#1095;&#1077;&#1090;&#1086;&#1084;%20&#1084;&#1077;&#1090;&#1086;&#1076;&#1080;&#1082;&#1080;%201746-&#1101;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8;&#1072;&#1088;&#1080;&#1092;&#1099;\2014\&#1058;&#1077;&#1087;&#1083;&#1086;\&#1057;_&#1082;&#1086;&#1088;&#1088;&#1077;&#1082;&#1090;&#1080;&#1088;&#1086;&#1074;&#1082;&#1086;&#1081;\&#1055;&#1088;&#1086;&#1090;&#1086;&#1082;&#1086;&#1083;%20EXP.CONC.5.86%202014%20&#1041;&#1077;&#1083;&#1086;&#1103;&#1088;&#1089;&#1082;&#1080;&#1081;_v1.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ugra.local\Documents%20and%20Settings\Martyuschova\&#1056;&#1072;&#1073;&#1086;&#1095;&#1080;&#1081;%20&#1089;&#1090;&#1086;&#1083;\12&#1084;2004\&#1092;%2011.3%20&#1079;&#1072;%202004%20&#1075;&#1086;&#107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st\2_&#1059;&#1087;&#1088;&#1072;&#1074;&#1083;&#1077;&#1085;&#1080;&#1077;%20&#1101;&#1085;&#1077;&#1088;&#1075;&#1077;&#1090;&#1080;&#1082;&#1080;\&#1054;&#1090;&#1076;&#1077;&#1083;%20&#1088;&#1077;&#1075;&#1091;&#1083;&#1080;&#1088;&#1086;&#1074;&#1072;&#1085;&#1080;&#1103;%20&#1090;&#1077;&#1087;&#1083;&#1086;&#1101;&#1085;&#1077;&#1088;&#1075;&#1077;&#1090;&#1080;&#1082;&#1080;\&#1053;&#1055;&#1040;\2015\14%20&#1041;&#1086;&#1073;&#1088;&#1086;&#1074;&#1089;&#1082;&#1086;&#1077;%20&#1051;&#1055;&#1059;\&#1069;&#1082;&#1089;&#1087;&#1077;&#1088;&#1085;&#1086;&#1077;%20+&#1089;&#1084;&#1077;&#1090;&#1072;%202015-2017%20&#1075;&#1086;&#1076;&#1099;\&#1044;&#1086;&#1082;&#1091;&#1084;&#1077;&#1085;&#1090;&#1099;%20&#1086;&#1090;%20&#1086;&#1088;&#1075;&#1072;&#1085;&#1080;&#1079;&#1072;&#1094;&#1080;&#1080;\PASSPORT.TEPLO.SETI_%20&#1041;&#1086;&#1073;&#1088;&#1086;&#1074;&#1089;&#1082;&#1086;&#1077;%20&#1051;&#1055;&#1059;%20&#1052;&#104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all\&#1055;&#1083;&#1072;&#1085;&#1086;&#1074;&#1099;&#1081;\&#1048;&#1085;&#1076;&#1080;&#1082;&#1072;&#1090;&#1086;&#1088;&#1099;_&#1057;&#1090;&#1072;&#1085;&#1076;&#1072;&#1088;&#1090;&#1099;\IND.ST.VS.2014.5.86_&#1092;&#1072;&#1082;&#1090;_4_&#1082;&#1074;&#1072;&#1088;&#1090;&#1072;&#1083;_2014_&#1073;&#1077;&#1083;&#1086;&#1103;&#1088;&#1089;&#1082;&#1080;&#1081;_&#1082;&#1072;&#1079;&#1099;&#1084;_&#1087;&#1086;&#1083;&#1085;&#1086;&#1074;&#1072;&#109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6;&#1086;&#1082;&#1080;\&#1090;&#1072;&#1088;&#1080;&#1092;&#1099;_&#1073;&#1077;&#1083;&#1086;&#1103;&#1088;&#1089;&#1082;&#1080;&#1081;\&#1074;&#1086;&#1076;&#1072;_2016_2018\&#1074;&#1086;&#1076;&#1072;_&#1084;&#1086;&#110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m_lala\LOCALS~1\Temp\WINDOWS\&#1056;&#1072;&#1073;&#1086;&#1095;&#1080;&#1081;%20&#1089;&#1090;&#1086;&#1083;\&#1047;&#1072;&#1090;&#1088;&#1072;&#1090;&#1099;%202004%20-%2028\9-28\&#1061;&#1086;&#1079;&#1088;&#1072;&#1089;&#1095;&#1077;&#1090;&#1085;&#1072;&#1103;%20&#1082;&#1072;&#1088;&#1090;&#1072;,%20&#1057;&#1077;&#1085;&#1090;&#1103;&#1073;&#1088;&#1100;,%202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Data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frmSecretCode"/>
      <sheetName val="modCommonProv"/>
      <sheetName val="modFill"/>
      <sheetName val="modProv"/>
      <sheetName val="modList04"/>
      <sheetName val="Инструкция"/>
      <sheetName val="Лог обновления"/>
      <sheetName val="Настройки регулятора"/>
      <sheetName val="Титульный"/>
      <sheetName val="Заявки на тариф и СТ"/>
      <sheetName val="УЕ"/>
      <sheetName val="et_union_ver"/>
      <sheetName val="Калькуляция"/>
      <sheetName val="Калькуляция свод"/>
      <sheetName val="К 1-1"/>
      <sheetName val="Лист1"/>
      <sheetName val="Тариф"/>
      <sheetName val="Тариф-Трансп"/>
      <sheetName val="Тариф 1"/>
      <sheetName val="Т"/>
      <sheetName val="Баланс Т"/>
      <sheetName val="ФОТ"/>
      <sheetName val="Амортизация"/>
      <sheetName val="Кап вложения"/>
      <sheetName val="Справка о кап влож"/>
      <sheetName val="Плата рез мощность"/>
      <sheetName val="Заявление"/>
      <sheetName val="Заявление 1"/>
      <sheetName val="Комментарии"/>
      <sheetName val="Проверка"/>
      <sheetName val="et_union_hor"/>
      <sheetName val="TEHSHEET"/>
      <sheetName val="modHypShowHide"/>
      <sheetName val="modfrmDictionary"/>
      <sheetName val="REESTR_ORG"/>
      <sheetName val="AllSheetsInThisWorkbook"/>
      <sheetName val="modfrmReestr"/>
      <sheetName val="modInstruction"/>
      <sheetName val="modProvGeneralProc"/>
      <sheetName val="modUpdTemplMain"/>
      <sheetName val="modfrmCheckUpdates"/>
      <sheetName val="modClassifierValidate"/>
      <sheetName val="modReestr"/>
      <sheetName val="modList00"/>
      <sheetName val="modHyp"/>
      <sheetName val="modListComm"/>
      <sheetName val="modList12"/>
      <sheetName val="modList09"/>
      <sheetName val="modList13"/>
      <sheetName val="modList05"/>
      <sheetName val="modList06"/>
      <sheetName val="WARM CALC INDEX 2015(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F9">
            <v>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Выбор субъекта РФ"/>
      <sheetName val="Титульный"/>
      <sheetName val="Произв. показатели"/>
      <sheetName val="Баланс ВО"/>
      <sheetName val="Баланс ТР"/>
      <sheetName val="СТОКИ кальк."/>
      <sheetName val="Электроэнергия"/>
      <sheetName val="Материалы (химреагенты)"/>
      <sheetName val="Амортизация"/>
      <sheetName val="Ремонт"/>
      <sheetName val="Оплата труда"/>
      <sheetName val="Цеховые"/>
      <sheetName val="Общеэксплуатационные"/>
      <sheetName val="Распред. цех. и (или) общеэкс."/>
      <sheetName val="Комментарии"/>
      <sheetName val="Проверка"/>
      <sheetName val="TEHSHEET"/>
      <sheetName val="AllSheetsInThisWorkbook"/>
      <sheetName val="modList00"/>
      <sheetName val="modList05"/>
      <sheetName val="modList06"/>
      <sheetName val="modList09"/>
      <sheetName val="modList10"/>
      <sheetName val="modList11"/>
      <sheetName val="modListComs"/>
      <sheetName val="REESTR_ORG"/>
      <sheetName val="REESTR_MO"/>
      <sheetName val="modfrmReestr"/>
      <sheetName val="modfrmDateChoose"/>
      <sheetName val="modReestr"/>
      <sheetName val="modListProv"/>
      <sheetName val="modHyp"/>
      <sheetName val="modUpdTemplMain"/>
      <sheetName val="Водоотведение"/>
      <sheetName val="электроэн"/>
      <sheetName val="химреагенты"/>
      <sheetName val="аморт"/>
      <sheetName val="рем"/>
      <sheetName val="ФОТ"/>
      <sheetName val="цех"/>
      <sheetName val="общеэк"/>
      <sheetName val="распред"/>
      <sheetName val="Копия CALC.TARIFF.VO.5.86"/>
      <sheetName val="настройка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>
        <row r="8">
          <cell r="F8">
            <v>2014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C2" t="str">
            <v>да</v>
          </cell>
          <cell r="D2">
            <v>2010</v>
          </cell>
        </row>
        <row r="3">
          <cell r="C3" t="str">
            <v>нет</v>
          </cell>
          <cell r="D3">
            <v>2011</v>
          </cell>
        </row>
        <row r="4">
          <cell r="D4">
            <v>2012</v>
          </cell>
        </row>
        <row r="5">
          <cell r="D5">
            <v>2013</v>
          </cell>
        </row>
        <row r="6">
          <cell r="D6">
            <v>2014</v>
          </cell>
        </row>
        <row r="7">
          <cell r="D7">
            <v>2015</v>
          </cell>
        </row>
        <row r="8">
          <cell r="D8">
            <v>2016</v>
          </cell>
        </row>
        <row r="9">
          <cell r="D9">
            <v>2017</v>
          </cell>
        </row>
        <row r="10">
          <cell r="D10">
            <v>2018</v>
          </cell>
        </row>
        <row r="11">
          <cell r="D11">
            <v>2019</v>
          </cell>
        </row>
        <row r="12">
          <cell r="D12">
            <v>2020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Белоярский</v>
          </cell>
          <cell r="D2" t="str">
            <v>Белоярский муниципальный район</v>
          </cell>
        </row>
        <row r="3">
          <cell r="B3" t="str">
            <v>Белоярский муниципальный район</v>
          </cell>
          <cell r="D3" t="str">
            <v>Березовский муниципальный район</v>
          </cell>
        </row>
        <row r="4">
          <cell r="B4" t="str">
            <v>Белоярское муниципальное образование</v>
          </cell>
          <cell r="D4" t="str">
            <v>Город Когалым</v>
          </cell>
        </row>
        <row r="5">
          <cell r="B5" t="str">
            <v>Верхнеказымский</v>
          </cell>
          <cell r="D5" t="str">
            <v>Кондинский муниципальный район</v>
          </cell>
        </row>
        <row r="6">
          <cell r="B6" t="str">
            <v>Казым</v>
          </cell>
          <cell r="D6" t="str">
            <v>Нефтеюганский муниципальный район</v>
          </cell>
        </row>
        <row r="7">
          <cell r="B7" t="str">
            <v>Лыхма</v>
          </cell>
          <cell r="D7" t="str">
            <v>Нижневартовский муниципальный район</v>
          </cell>
        </row>
        <row r="8">
          <cell r="B8" t="str">
            <v>Полноват</v>
          </cell>
          <cell r="D8" t="str">
            <v>Октябрьский муниципальный район</v>
          </cell>
        </row>
        <row r="9">
          <cell r="B9" t="str">
            <v>Сорум</v>
          </cell>
          <cell r="D9" t="str">
            <v>Советский муниципальный район</v>
          </cell>
        </row>
        <row r="10">
          <cell r="B10" t="str">
            <v>Сосновка</v>
          </cell>
          <cell r="D10" t="str">
            <v>Сургутский муниципальный район</v>
          </cell>
        </row>
        <row r="11">
          <cell r="D11" t="str">
            <v>Ханты-Мансийский муниципальный район</v>
          </cell>
        </row>
        <row r="12">
          <cell r="D12" t="str">
            <v>город Лангепас</v>
          </cell>
        </row>
        <row r="13">
          <cell r="D13" t="str">
            <v>город Мегион</v>
          </cell>
        </row>
        <row r="14">
          <cell r="D14" t="str">
            <v>город Нефтеюганск</v>
          </cell>
        </row>
        <row r="15">
          <cell r="D15" t="str">
            <v>город Нижневартовск</v>
          </cell>
        </row>
        <row r="16">
          <cell r="D16" t="str">
            <v>город Нягань</v>
          </cell>
        </row>
        <row r="17">
          <cell r="D17" t="str">
            <v>город Покачи</v>
          </cell>
        </row>
        <row r="18">
          <cell r="D18" t="str">
            <v>город Пыть-Ях</v>
          </cell>
        </row>
        <row r="19">
          <cell r="D19" t="str">
            <v>город Радужный</v>
          </cell>
        </row>
        <row r="20">
          <cell r="D20" t="str">
            <v>город Сургут</v>
          </cell>
        </row>
        <row r="21">
          <cell r="D21" t="str">
            <v>город Урай</v>
          </cell>
        </row>
        <row r="22">
          <cell r="D22" t="str">
            <v>город Ханты-Мансийск</v>
          </cell>
        </row>
        <row r="23">
          <cell r="D23" t="str">
            <v>город Югорск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План использования средств на приобретение и соц. обеспечение работников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XLR_NoRangeSheet"/>
      <sheetName val="Д.С. ИМ"/>
      <sheetName val="АКТ К Д.С. ИМ"/>
      <sheetName val="Акт вывода Тр"/>
      <sheetName val="Акт вывода Им"/>
      <sheetName val="Д.С. ВЫВОД"/>
      <sheetName val="АКТ К Д.С. ВЫВОД"/>
      <sheetName val="Д.С. 11 ИМ 91"/>
      <sheetName val="АКТ + Д.С. 11 ИМ 91"/>
      <sheetName val="Д.С."/>
      <sheetName val="АКТ В АРЕНДУ"/>
      <sheetName val="АКТ"/>
      <sheetName val="АКТ К Д.С."/>
      <sheetName val="Д.С. 7"/>
      <sheetName val="АКТ - ИМ 88"/>
    </sheetNames>
    <sheetDataSet>
      <sheetData sheetId="0" refreshError="1"/>
      <sheetData sheetId="1" refreshError="1"/>
      <sheetData sheetId="2" refreshError="1">
        <row r="7">
          <cell r="B7" t="str">
            <v>ООО "СЕРАФИМОВСКОЕ УЭН"</v>
          </cell>
          <cell r="C7" t="str">
            <v>Чунихина Ольга Семеновна</v>
          </cell>
          <cell r="D7" t="str">
            <v>Мухутдинов Вадим Ильдарович</v>
          </cell>
          <cell r="E7">
            <v>39539</v>
          </cell>
          <cell r="F7" t="str">
            <v>О.В.Погорелов</v>
          </cell>
          <cell r="G7" t="str">
            <v>А.А.Габидуллин</v>
          </cell>
          <cell r="H7" t="str">
            <v>Филиала ОАО "АНК "Башнефть" "Башнефть-Уфа"</v>
          </cell>
          <cell r="I7">
            <v>1</v>
          </cell>
          <cell r="K7" t="str">
            <v>Перечень объектов движимого имущества  ОАО "АНК"Башнефть", дополнительно передаваемых в аренду ООО "СЕРАФИМОВСКОЕ УЭН"</v>
          </cell>
          <cell r="L7" t="str">
            <v>к договору аренды №</v>
          </cell>
          <cell r="M7" t="str">
            <v>к акту приема-передачи доп.соглашения №</v>
          </cell>
          <cell r="N7">
            <v>0</v>
          </cell>
          <cell r="O7" t="str">
            <v>договора аренды №</v>
          </cell>
        </row>
      </sheetData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+5610.04"/>
    </sheetNames>
    <sheetDataSet>
      <sheetData sheetId="0"/>
      <sheetData sheetId="1">
        <row r="6">
          <cell r="D6">
            <v>1208.71</v>
          </cell>
        </row>
      </sheetData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Им"/>
      <sheetName val="Им (У)"/>
      <sheetName val="Им (Н)"/>
      <sheetName val="Д.с.2 Им (У)"/>
      <sheetName val="Акт к д.с.2 Им (У)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7">
          <cell r="J7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C6" t="str">
            <v>ФилиалаОАО "АНК "Башнефть" "Башнефть-Уфа"</v>
          </cell>
        </row>
        <row r="7">
          <cell r="B7" t="str">
            <v>22.08.2007 г.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ООО "Курасковское УЭН"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B10" t="str">
            <v>ООО "Курасковское УЭН"</v>
          </cell>
        </row>
        <row r="11">
          <cell r="B11" t="str">
            <v>(с  22.07.2009  г.)</v>
          </cell>
        </row>
        <row r="12">
          <cell r="B12" t="str">
            <v>от  22.07.2009 г. №51п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XLR_NoRangeSheet"/>
      <sheetName val="Лист4"/>
    </sheetNames>
    <sheetDataSet>
      <sheetData sheetId="0"/>
      <sheetData sheetId="1"/>
      <sheetData sheetId="2">
        <row r="8">
          <cell r="B8" t="str">
            <v>дополнительного соглашения №</v>
          </cell>
          <cell r="C8" t="str">
            <v>к договору аренды № БНФ/р/8/116/13/АРС от 01.01.2013</v>
          </cell>
        </row>
      </sheetData>
      <sheetData sheetId="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ОС"/>
      <sheetName val="XLR_NoRangeSheet"/>
      <sheetName val="Свод"/>
      <sheetName val="RTS"/>
    </sheetNames>
    <sheetDataSet>
      <sheetData sheetId="0" refreshError="1"/>
      <sheetData sheetId="1" refreshError="1">
        <row r="8">
          <cell r="B8">
            <v>64201028</v>
          </cell>
          <cell r="C8">
            <v>10642715</v>
          </cell>
          <cell r="D8">
            <v>9900442</v>
          </cell>
          <cell r="E8">
            <v>42608466.829999998</v>
          </cell>
          <cell r="F8">
            <v>2679431.36</v>
          </cell>
          <cell r="G8">
            <v>84583.78</v>
          </cell>
          <cell r="H8">
            <v>5786356.2400000002</v>
          </cell>
          <cell r="I8">
            <v>0</v>
          </cell>
          <cell r="J8">
            <v>-61493661.170000002</v>
          </cell>
          <cell r="K8">
            <v>752291662.41000009</v>
          </cell>
          <cell r="L8">
            <v>-343970039.02999997</v>
          </cell>
          <cell r="M8">
            <v>16170600.1</v>
          </cell>
          <cell r="N8">
            <v>88747709.689999998</v>
          </cell>
          <cell r="O8">
            <v>10642715</v>
          </cell>
          <cell r="P8">
            <v>9900442</v>
          </cell>
          <cell r="Q8">
            <v>59468226.700000003</v>
          </cell>
          <cell r="R8">
            <v>3364210.69</v>
          </cell>
          <cell r="S8">
            <v>586136.75</v>
          </cell>
          <cell r="T8">
            <v>6081486.1799999997</v>
          </cell>
          <cell r="U8">
            <v>0</v>
          </cell>
          <cell r="V8">
            <v>-62675586.130000003</v>
          </cell>
          <cell r="W8">
            <v>733071589.31000006</v>
          </cell>
          <cell r="X8">
            <v>-360420703.02999997</v>
          </cell>
          <cell r="Y8">
            <v>113410060.84</v>
          </cell>
          <cell r="Z8">
            <v>824000.52</v>
          </cell>
          <cell r="AA8">
            <v>8171735.5599999996</v>
          </cell>
          <cell r="AB8">
            <v>499799026.04000002</v>
          </cell>
          <cell r="AC8">
            <v>610421463.55999994</v>
          </cell>
          <cell r="AD8">
            <v>73440</v>
          </cell>
          <cell r="AE8">
            <v>73440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исок организаций"/>
      <sheetName val="Баланс"/>
      <sheetName val="Расходы организации"/>
      <sheetName val="Расходы на реализацию"/>
      <sheetName val="Комментарии"/>
      <sheetName val="Проверка"/>
      <sheetName val="modProt"/>
      <sheetName val="modHyp"/>
      <sheetName val="modAddUpdOrg"/>
      <sheetName val="Диапазоны"/>
      <sheetName val="Свод"/>
      <sheetName val="Ошибки загрузки"/>
      <sheetName val="TEHSHEET"/>
      <sheetName val="REESTR_START"/>
      <sheetName val="REESTR"/>
      <sheetName val="modProv"/>
      <sheetName val="REESTR_ORG"/>
      <sheetName val="для свода"/>
      <sheetName val="Титул"/>
    </sheetNames>
    <sheetDataSet>
      <sheetData sheetId="0" refreshError="1"/>
      <sheetData sheetId="1" refreshError="1"/>
      <sheetData sheetId="2" refreshError="1"/>
      <sheetData sheetId="3" refreshError="1">
        <row r="10">
          <cell r="G10" t="str">
            <v>A</v>
          </cell>
          <cell r="H10" t="str">
            <v>1</v>
          </cell>
          <cell r="I10" t="str">
            <v>2</v>
          </cell>
          <cell r="J10" t="str">
            <v>3</v>
          </cell>
          <cell r="K10" t="str">
            <v>4</v>
          </cell>
          <cell r="L10" t="str">
            <v>5</v>
          </cell>
          <cell r="M10" t="str">
            <v>5.1</v>
          </cell>
          <cell r="N10" t="str">
            <v>5.1.1</v>
          </cell>
          <cell r="O10" t="str">
            <v>5.1.2</v>
          </cell>
          <cell r="P10" t="str">
            <v>5.1.3</v>
          </cell>
          <cell r="Q10" t="str">
            <v>5.2</v>
          </cell>
          <cell r="R10" t="str">
            <v>5.2.1</v>
          </cell>
          <cell r="S10" t="str">
            <v>5.2.1.1</v>
          </cell>
          <cell r="T10" t="str">
            <v>5.2.1.2</v>
          </cell>
          <cell r="U10" t="str">
            <v>5.2.2</v>
          </cell>
          <cell r="V10" t="str">
            <v>5.2.2.</v>
          </cell>
          <cell r="W10" t="str">
            <v>5.2.2.1</v>
          </cell>
          <cell r="X10" t="str">
            <v>5.2.2.</v>
          </cell>
          <cell r="Y10" t="str">
            <v>5.2.3</v>
          </cell>
          <cell r="Z10" t="str">
            <v>5.2.3.1</v>
          </cell>
          <cell r="AA10" t="str">
            <v>5.2.3.2</v>
          </cell>
          <cell r="AB10" t="str">
            <v>5.2.3.3</v>
          </cell>
          <cell r="AC10" t="str">
            <v>6.1</v>
          </cell>
          <cell r="AD10" t="str">
            <v>6.2</v>
          </cell>
        </row>
        <row r="11">
          <cell r="G11" t="str">
            <v>Всего по МО</v>
          </cell>
          <cell r="H11">
            <v>9060585</v>
          </cell>
          <cell r="I11">
            <v>599385</v>
          </cell>
          <cell r="J11">
            <v>0</v>
          </cell>
          <cell r="K11">
            <v>9015400</v>
          </cell>
          <cell r="L11">
            <v>8461200</v>
          </cell>
          <cell r="M11">
            <v>1482900</v>
          </cell>
          <cell r="N11">
            <v>677000</v>
          </cell>
          <cell r="O11">
            <v>805900</v>
          </cell>
          <cell r="P11">
            <v>0</v>
          </cell>
          <cell r="Q11">
            <v>6978300</v>
          </cell>
          <cell r="R11">
            <v>1021000</v>
          </cell>
          <cell r="S11">
            <v>0</v>
          </cell>
          <cell r="T11">
            <v>1021000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5957300</v>
          </cell>
          <cell r="Z11">
            <v>516400</v>
          </cell>
          <cell r="AA11">
            <v>4010000</v>
          </cell>
          <cell r="AB11">
            <v>1430900</v>
          </cell>
          <cell r="AC11">
            <v>2201000</v>
          </cell>
          <cell r="AD11">
            <v>3756300</v>
          </cell>
        </row>
        <row r="13">
          <cell r="F13">
            <v>1</v>
          </cell>
          <cell r="G13" t="str">
            <v>МУП "Тобольский водоканал"</v>
          </cell>
          <cell r="H13">
            <v>9060585</v>
          </cell>
          <cell r="I13">
            <v>599385</v>
          </cell>
          <cell r="K13">
            <v>9015400</v>
          </cell>
          <cell r="L13">
            <v>8461200</v>
          </cell>
          <cell r="M13">
            <v>1482900</v>
          </cell>
          <cell r="N13">
            <v>677000</v>
          </cell>
          <cell r="O13">
            <v>805900</v>
          </cell>
          <cell r="Q13">
            <v>6978300</v>
          </cell>
          <cell r="R13">
            <v>1021000</v>
          </cell>
          <cell r="T13">
            <v>1021000</v>
          </cell>
          <cell r="U13">
            <v>0</v>
          </cell>
          <cell r="Y13">
            <v>5957300</v>
          </cell>
          <cell r="Z13">
            <v>516400</v>
          </cell>
          <cell r="AA13">
            <v>4010000</v>
          </cell>
          <cell r="AB13">
            <v>1430900</v>
          </cell>
          <cell r="AC13">
            <v>2201000</v>
          </cell>
          <cell r="AD13">
            <v>3756300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XLR_NoRangeSheet"/>
      <sheetName val="PBC BS"/>
    </sheetNames>
    <sheetDataSet>
      <sheetData sheetId="0" refreshError="1"/>
      <sheetData sheetId="1" refreshError="1">
        <row r="10">
          <cell r="B10">
            <v>-5035029.0199999996</v>
          </cell>
          <cell r="C10">
            <v>-62986.5</v>
          </cell>
          <cell r="D10">
            <v>12590.98</v>
          </cell>
          <cell r="E10">
            <v>0</v>
          </cell>
          <cell r="F10">
            <v>12590.98</v>
          </cell>
          <cell r="H10">
            <v>23928003.789999999</v>
          </cell>
          <cell r="I10">
            <v>27714280.360000003</v>
          </cell>
          <cell r="J10">
            <v>28306219.450000003</v>
          </cell>
          <cell r="K10">
            <v>816185.41</v>
          </cell>
          <cell r="L10">
            <v>815567.92</v>
          </cell>
          <cell r="M10">
            <v>819691.85</v>
          </cell>
        </row>
        <row r="11">
          <cell r="B11">
            <v>0</v>
          </cell>
          <cell r="C11">
            <v>0</v>
          </cell>
          <cell r="D11">
            <v>2.000001072883606E-2</v>
          </cell>
          <cell r="E11">
            <v>0</v>
          </cell>
          <cell r="F11">
            <v>2.000001072883606E-2</v>
          </cell>
          <cell r="G11">
            <v>0</v>
          </cell>
          <cell r="H11">
            <v>67439927.319999993</v>
          </cell>
          <cell r="I11">
            <v>-67439927.319999993</v>
          </cell>
          <cell r="J11">
            <v>67439927.349999994</v>
          </cell>
          <cell r="K11">
            <v>-67439927.319999993</v>
          </cell>
          <cell r="L11">
            <v>67439927.339999974</v>
          </cell>
        </row>
      </sheetData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ОС RUS - ДВИЖЕНИЕ_Data"/>
      <sheetName val="Группы ОС"/>
      <sheetName val="ОС RUS - ДВИЖЕНИЕ"/>
      <sheetName val="КВ RUS - ДВИЖЕНИЕ_Data"/>
      <sheetName val="ОС GAAP NGW - ДВИЖЕНИЕ_Data"/>
      <sheetName val="ОС GAAP - ДВИЖЕНИЕ"/>
      <sheetName val="КВ GAAP - ДВИЖЕНИЕ_Data"/>
      <sheetName val="ОС GAAP - ДВИЖЕНИЕ_Data"/>
      <sheetName val="ОС GAAP NGW - ДВИЖЕНИЕ"/>
      <sheetName val="КВ RUS - ДВИЖЕНИЕ"/>
      <sheetName val="КВ GAAP NGW - ДВИЖЕНИЕ_Data"/>
      <sheetName val="КВ GAAP - ДВИЖЕНИЕ"/>
      <sheetName val="КВ GAAP NGW - ДВИЖЕНИЕ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0">
          <cell r="G10">
            <v>0</v>
          </cell>
        </row>
        <row r="11">
          <cell r="M11">
            <v>-19532764.43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2TempSheet"/>
      <sheetName val="Лист1"/>
      <sheetName val="Лист2"/>
      <sheetName val="Лист3"/>
      <sheetName val="Шаблон  внутренний"/>
    </sheetNames>
    <sheetDataSet>
      <sheetData sheetId="0" refreshError="1">
        <row r="6">
          <cell r="K6" t="str">
            <v>Цены указаны в руб., без НДС, тары и доставки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2TempSheet"/>
      <sheetName val="Лист1"/>
      <sheetName val="Лист2"/>
      <sheetName val="Лист3"/>
    </sheetNames>
    <sheetDataSet>
      <sheetData sheetId="0" refreshError="1">
        <row r="5">
          <cell r="B5" t="str">
            <v>ЛангепасНГ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XLR_NoRangeSheet"/>
    </sheetNames>
    <sheetDataSet>
      <sheetData sheetId="0" refreshError="1"/>
      <sheetData sheetId="1">
        <row r="6">
          <cell r="I6" t="str">
            <v>Челябинский Металлургический Комбинат ОАО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_testing"/>
      <sheetName val="Tickmarks"/>
      <sheetName val="XREF"/>
      <sheetName val="PBC_TOBS"/>
      <sheetName val="PBC_Cash"/>
      <sheetName val="TOBS-51"/>
      <sheetName val="PBC 50.03"/>
      <sheetName val="PBC_TB @ 31.12.2008 "/>
      <sheetName val="PBC_TB @ 31.12.2008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JE, AJE"/>
      <sheetName val="BDWN"/>
      <sheetName val="SS 10.01"/>
      <sheetName val="SS 10.09"/>
      <sheetName val="StockCount"/>
      <sheetName val="Rollback and add test"/>
      <sheetName val="Pricing test"/>
      <sheetName val="FA"/>
      <sheetName val="Obsolescence"/>
      <sheetName val="Purchase and cut-off test"/>
      <sheetName val="XREF"/>
      <sheetName val="Tickmarks"/>
      <sheetName val="PBC"/>
      <sheetName val="PBC '07"/>
      <sheetName val="PBC '08"/>
      <sheetName val="XLR_NoRangeShee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JE-AJE"/>
      <sheetName val="Rollforward"/>
      <sheetName val="StockCount"/>
      <sheetName val="Roll-back and add|disp test"/>
      <sheetName val="Pricing Test"/>
      <sheetName val="Purchase testing"/>
      <sheetName val="XREF"/>
      <sheetName val="Tickmarks"/>
      <sheetName val="PBC SC items'09"/>
      <sheetName val="PBC Pricing"/>
      <sheetName val="Selection-purchase testing"/>
      <sheetName val="PBC-acc.10"/>
      <sheetName val="PBC_TOBS 2008"/>
      <sheetName val="PBC_TB 2008"/>
      <sheetName val="Analyse acc.10"/>
      <sheetName val="BDWN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 AR"/>
      <sheetName val="62.5"/>
      <sheetName val="Cash receipt"/>
      <sheetName val="Trade receivables"/>
      <sheetName val="Advances test"/>
      <sheetName val="Late cut-off test"/>
      <sheetName val="Tickmarks"/>
      <sheetName val="VAT Testing"/>
      <sheetName val="COVER FS"/>
      <sheetName val="VAT"/>
      <sheetName val="Other taxes"/>
      <sheetName val="VAT reconciliation"/>
      <sheetName val="ADJ"/>
      <sheetName val="HADJ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,RJE"/>
      <sheetName val="breakdown"/>
      <sheetName val="Tickmarks"/>
      <sheetName val="Client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CommonProcedures"/>
      <sheetName val="modBalPr"/>
      <sheetName val="modVLDProv"/>
      <sheetName val="modVLDProvTM"/>
      <sheetName val="Инструкция"/>
      <sheetName val="modInstruction"/>
      <sheetName val="Лог обновления"/>
      <sheetName val="Список организаций"/>
      <sheetName val="TECHSHEET"/>
      <sheetName val="TECH_VERTICAL"/>
      <sheetName val="TECH_HORISONTAL"/>
      <sheetName val="REESTR_ORG"/>
      <sheetName val="REESTR_SOURCE"/>
      <sheetName val="modGetGeoBase"/>
      <sheetName val="ТС.БПр"/>
      <sheetName val="ТС.БТр"/>
      <sheetName val="ТС.К год"/>
      <sheetName val="ТС.К 1 янв"/>
      <sheetName val="ТС.К 1 июл"/>
      <sheetName val="ТС.К (к) 1 янв"/>
      <sheetName val="ТС.К (к) 1 июл"/>
      <sheetName val="ТС.Т 1 янв"/>
      <sheetName val="ТС.Т 1 июл"/>
      <sheetName val="ТС.ТМ1 1 янв"/>
      <sheetName val="ТС.ТМ1 1 июл"/>
      <sheetName val="ТС.ТМ2 1 янв"/>
      <sheetName val="ТС.ТМ2 1 июл"/>
      <sheetName val="БПр"/>
      <sheetName val="БТр"/>
      <sheetName val="К год"/>
      <sheetName val="К 1 янв"/>
      <sheetName val="К 1 июл"/>
      <sheetName val="ТМ1 1 янв"/>
      <sheetName val="ТМ1 1 июл"/>
      <sheetName val="ТМ2 1 янв"/>
      <sheetName val="ТМ2 1 июл"/>
      <sheetName val="ВО.БПр"/>
      <sheetName val="ВО.БТр"/>
      <sheetName val="ВО.К год"/>
      <sheetName val="ВО.К 1 янв"/>
      <sheetName val="ВО.К 1 июл"/>
      <sheetName val="ВО.ТМ1 1 янв"/>
      <sheetName val="ВО.ТМ1 1 июл"/>
      <sheetName val="ВО.ТМ2 1 янв"/>
      <sheetName val="ВО.ТМ2 1 июл"/>
      <sheetName val="ТБО.К год"/>
      <sheetName val="ТБО.К 1 янв"/>
      <sheetName val="ТБО.К 1 июл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"/>
      <sheetName val="PLAN1X_BPR_DETAILED"/>
      <sheetName val="PLAN1X_MXPP"/>
      <sheetName val="PLAN1X_MXPP_DETAILED"/>
      <sheetName val="PLAN1X_BTR"/>
      <sheetName val="PLAN1X_BTR_DETAILED"/>
      <sheetName val="PLAN1X_MXTR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SvodButtons"/>
      <sheetName val="modVLDCommonProv"/>
      <sheetName val="modVLDIntegrityProv"/>
      <sheetName val="modDataRegion"/>
      <sheetName val="modBalTr"/>
      <sheetName val="modCalc"/>
      <sheetName val="modCalcCombi"/>
      <sheetName val="modCalcYear"/>
      <sheetName val="modFuel"/>
      <sheetName val="modListOrg"/>
      <sheetName val="modCommandButton"/>
      <sheetName val="modfrmRegion"/>
      <sheetName val="modVLDProvGeneralProc"/>
      <sheetName val="modfrmCheckInIsInProgress"/>
      <sheetName val="modfrmPLAN1XUpdateIsInProgress"/>
      <sheetName val="modVLDOrgUniqueness"/>
      <sheetName val="modTM1"/>
      <sheetName val="modTM2"/>
      <sheetName val="modfrmReestr"/>
      <sheetName val="modfrmOrg"/>
      <sheetName val="modUpdTemplMain"/>
      <sheetName val="modfrmCheckUpdates"/>
      <sheetName val="modfrmDateChoose"/>
      <sheetName val="modIHLCommandBar"/>
      <sheetName val="modfrmHEATINGAdditionalOrgData"/>
      <sheetName val="modfrmVSNAVOTVAdditionalOrgData"/>
      <sheetName val="modGeneralProcedures"/>
      <sheetName val="modOpen"/>
      <sheetName val="modfrmReportMode"/>
      <sheetName val="Балан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G6" t="str">
            <v>водоснабжения</v>
          </cell>
        </row>
        <row r="20">
          <cell r="G20" t="str">
            <v>Вид воды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ОтчетПП"/>
      <sheetName val="ОтчетФинП-ХВс"/>
      <sheetName val="ОтчетФинП-ТрВс"/>
      <sheetName val="ОтчетФинП-Подвоз"/>
      <sheetName val="ОтчетФинП-ГВС"/>
      <sheetName val="ОтчетФинП-ТрГВС"/>
      <sheetName val="ОтчетФинП-ВО"/>
      <sheetName val="ОтчетФинП-ТрСт"/>
      <sheetName val="ОтчетФинП-ОчСт"/>
      <sheetName val="ОтчетМероп"/>
      <sheetName val="Лист3"/>
      <sheetName val="TEHSHEET"/>
      <sheetName val="Калькуляция кв"/>
      <sheetName val="УТТ-2 май (2)"/>
      <sheetName val="ВУТТ май"/>
      <sheetName val="ГАЗ_камаз"/>
      <sheetName val="УТТ - 2июнь"/>
      <sheetName val="А.союз  май"/>
    </sheetNames>
    <sheetDataSet>
      <sheetData sheetId="0"/>
      <sheetData sheetId="1">
        <row r="2">
          <cell r="L2" t="str">
            <v>да</v>
          </cell>
        </row>
        <row r="3">
          <cell r="L3" t="str">
            <v>нет</v>
          </cell>
        </row>
        <row r="24">
          <cell r="L24" t="str">
            <v>питьевая</v>
          </cell>
        </row>
        <row r="25">
          <cell r="L25" t="str">
            <v>техническая</v>
          </cell>
        </row>
      </sheetData>
      <sheetData sheetId="2"/>
      <sheetData sheetId="3">
        <row r="5">
          <cell r="B5" t="str">
            <v>ОСНО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становка"/>
      <sheetName val="тарифные_ставки_водителей"/>
      <sheetName val="2015_ИТОГО_8_12_10_25"/>
      <sheetName val="стажевый_список"/>
      <sheetName val="стажевые_свод"/>
      <sheetName val="аренда"/>
      <sheetName val="мед_осмотр"/>
      <sheetName val="канцтовары"/>
      <sheetName val="охрана_труда"/>
      <sheetName val="повышение_кваллификации"/>
      <sheetName val="распределение_здания"/>
      <sheetName val="содержание_здания_контора"/>
      <sheetName val="содержание_здания_дс"/>
      <sheetName val="электроэнергия"/>
      <sheetName val="льготный_проезд_2015"/>
      <sheetName val="льготный_проезд"/>
      <sheetName val="командировка_стоимость_поездки"/>
      <sheetName val="2014_10_факт"/>
      <sheetName val="2013_факт"/>
      <sheetName val="расшифровка_прочие_2014"/>
      <sheetName val="приложение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16">
          <cell r="A16" t="str">
            <v>Исполнитель: А.В. Гусева, телефон 37-8-81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>
        <row r="17">
          <cell r="F17">
            <v>416719.27999999997</v>
          </cell>
        </row>
      </sheetData>
      <sheetData sheetId="19" refreshError="1"/>
      <sheetData sheetId="2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2 к д.с.4"/>
      <sheetName val="Расчет"/>
      <sheetName val="Лист1"/>
      <sheetName val="Лист2"/>
      <sheetName val="XLR_NoRangeSheet"/>
      <sheetName val="Лист 1"/>
    </sheetNames>
    <sheetDataSet>
      <sheetData sheetId="0"/>
      <sheetData sheetId="1"/>
      <sheetData sheetId="2"/>
      <sheetData sheetId="3"/>
      <sheetData sheetId="4" refreshError="1">
        <row r="7">
          <cell r="I7">
            <v>1</v>
          </cell>
        </row>
      </sheetData>
      <sheetData sheetId="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олезный отпуск"/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20э)"/>
      <sheetName val="Анализ (пр + пер)"/>
      <sheetName val="Хар-ки товаров и услуг"/>
      <sheetName val="Оснащенность приборами учета"/>
      <sheetName val="Калькуляция"/>
      <sheetName val="Анализ"/>
      <sheetName val="Сводн газ"/>
      <sheetName val="Газ"/>
      <sheetName val="Оплата труда"/>
      <sheetName val="Мес.зарплата"/>
      <sheetName val="Год ФОТ"/>
      <sheetName val="Расчет %выплат"/>
      <sheetName val="Расчет средн разр"/>
      <sheetName val="Сводн.расчет норм.числ."/>
      <sheetName val="Нормат.числен.электр."/>
      <sheetName val="Норм.числ.слесарей"/>
      <sheetName val="Норм числ раб тепл сет"/>
      <sheetName val="Нормат числ АиТМ"/>
      <sheetName val="Норм.числ.опер"/>
      <sheetName val="Страх взносы страх от несч случ"/>
      <sheetName val="Элект"/>
      <sheetName val="Прогноз цен на электроэн"/>
      <sheetName val="ТО, ТР"/>
      <sheetName val="Услуги произв харак"/>
      <sheetName val="Экология"/>
      <sheetName val="Распределение тран расх"/>
      <sheetName val="Транспортн расходы"/>
      <sheetName val="машиночасы"/>
      <sheetName val="Цеховые "/>
      <sheetName val="Общехозяйственные"/>
      <sheetName val="Непроизводственные расходы"/>
      <sheetName val="Льготный проезд"/>
      <sheetName val="Услуги РКЦ"/>
      <sheetName val="Расшифровка прочих"/>
      <sheetName val="Спецодежда спецобувь"/>
      <sheetName val="Спецпитание"/>
      <sheetName val="Моющие"/>
      <sheetName val="расшифровка аренды"/>
      <sheetName val="Прибыль"/>
      <sheetName val="Средства на развитие про-ва"/>
      <sheetName val="Средства на соц. развитие"/>
      <sheetName val="Расш.необход.прибыли"/>
      <sheetName val="Расшифровки к прибыли"/>
      <sheetName val="Распредел прибыли"/>
      <sheetName val="Выпадающий_доход"/>
      <sheetName val="Содерж СРО"/>
      <sheetName val="пояснительная"/>
      <sheetName val="пояснительная (2)"/>
      <sheetName val="Опись"/>
      <sheetName val="Содержание пос"/>
      <sheetName val="Лист1"/>
      <sheetName val="гр5(о)"/>
      <sheetName val="Производство электроэнергии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2">
          <cell r="E122">
            <v>0</v>
          </cell>
        </row>
        <row r="198">
          <cell r="E19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20э)"/>
      <sheetName val="Анализ (пр.+пер.)"/>
      <sheetName val="Хар-ки товаров и услуг"/>
      <sheetName val="Оснащенность приборами учета"/>
      <sheetName val="Мониторинг"/>
      <sheetName val="Структура пол. отпуска"/>
      <sheetName val="Расчет полезного отпуска"/>
      <sheetName val="Калькуляция"/>
      <sheetName val="Анализ"/>
      <sheetName val="Уголь"/>
      <sheetName val="Оплата труда"/>
      <sheetName val="Мес.зарплата"/>
      <sheetName val="Год ФОТ"/>
      <sheetName val="Расчет %выплат"/>
      <sheetName val="Расчет средн разр"/>
      <sheetName val="Сводн.расчет норм.числ."/>
      <sheetName val="СВОДНАЯ"/>
      <sheetName val="Нормат.числен.электр."/>
      <sheetName val="Норм.числ.слесарей"/>
      <sheetName val="Норм.числ.опер"/>
      <sheetName val="Страх взносы страх от несч случ"/>
      <sheetName val="Амортизация"/>
      <sheetName val="Электроэнергия"/>
      <sheetName val="Прогноз цен на электроэн"/>
      <sheetName val="ТО, ТР"/>
      <sheetName val="Услуги произв харак"/>
      <sheetName val="Экология"/>
      <sheetName val="Распределение тран расх"/>
      <sheetName val="Транспортн расходы"/>
      <sheetName val="Машчас "/>
      <sheetName val="Цеховые "/>
      <sheetName val="Общехозяйственные"/>
      <sheetName val="Непроизводственные расходы"/>
      <sheetName val="Льготный проезд"/>
      <sheetName val="услуги РКЦ"/>
      <sheetName val="Расшифровка прочих"/>
      <sheetName val="Охрана_труда"/>
      <sheetName val="расшифровка аренды"/>
      <sheetName val="Прибыль"/>
      <sheetName val="Средства на развитие про-ва"/>
      <sheetName val="Средства на соц. развитие"/>
      <sheetName val="Расш.необход.прибыли"/>
      <sheetName val="Расшифровки к прибыли"/>
      <sheetName val="Распредел прибыли"/>
      <sheetName val="Содерж СРО"/>
      <sheetName val="Индексы"/>
      <sheetName val="Опись"/>
      <sheetName val="Содержание"/>
      <sheetName val="Титульн. лист"/>
      <sheetName val="% цеховых"/>
      <sheetName val="пояснительная"/>
      <sheetName val="раздел1"/>
      <sheetName val="раздел2"/>
      <sheetName val="Лист1"/>
      <sheetName val="работы на объектах"/>
      <sheetName val="Производство электроэнергии"/>
      <sheetName val="TECHSHEET"/>
      <sheetName val="форма 3 тс"/>
      <sheetName val="TEHSHEET"/>
    </sheetNames>
    <sheetDataSet>
      <sheetData sheetId="0"/>
      <sheetData sheetId="1">
        <row r="179">
          <cell r="E17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"/>
      <sheetName val="ПАС"/>
      <sheetName val="Приложение 1.1 (Баланс ВС)"/>
      <sheetName val="Прил. 1 (Баланс ВО)"/>
      <sheetName val="ОУ"/>
      <sheetName val="Тех"/>
      <sheetName val="ИВ"/>
      <sheetName val="Эл"/>
      <sheetName val="СобП"/>
      <sheetName val="ПрН"/>
      <sheetName val="Бюдж"/>
      <sheetName val="Проч"/>
      <sheetName val="Утеч"/>
      <sheetName val="Проб"/>
      <sheetName val="Хим"/>
      <sheetName val="Расч. Эф"/>
      <sheetName val="Лист3"/>
      <sheetName val="Расч.Эф"/>
      <sheetName val="Лист1"/>
      <sheetName val="Титульный"/>
      <sheetName val="Производство электроэнергии"/>
      <sheetName val="Исходные"/>
    </sheetNames>
    <sheetDataSet>
      <sheetData sheetId="0"/>
      <sheetData sheetId="1" refreshError="1">
        <row r="1">
          <cell r="BB1" t="str">
            <v>питьевая</v>
          </cell>
        </row>
        <row r="2">
          <cell r="BB2" t="str">
            <v>техническая</v>
          </cell>
        </row>
        <row r="3">
          <cell r="AS3" t="str">
            <v>да</v>
          </cell>
        </row>
        <row r="4">
          <cell r="AS4" t="str">
            <v>нет</v>
          </cell>
        </row>
        <row r="8">
          <cell r="BB8" t="str">
            <v>1 год</v>
          </cell>
        </row>
        <row r="9">
          <cell r="BB9" t="str">
            <v>2 года</v>
          </cell>
        </row>
        <row r="10">
          <cell r="BB10" t="str">
            <v>3 года</v>
          </cell>
        </row>
        <row r="11">
          <cell r="BB11" t="str">
            <v xml:space="preserve">4 года </v>
          </cell>
        </row>
        <row r="12">
          <cell r="BB12" t="str">
            <v>5 лет</v>
          </cell>
        </row>
        <row r="17">
          <cell r="BC17" t="str">
            <v>г.Тюмень</v>
          </cell>
        </row>
        <row r="18">
          <cell r="BC18" t="str">
            <v>г.Тобольск</v>
          </cell>
        </row>
        <row r="19">
          <cell r="BC19" t="str">
            <v>г.Ялуторовск</v>
          </cell>
        </row>
        <row r="20">
          <cell r="BC20" t="str">
            <v>Заводоуковский городской округ</v>
          </cell>
        </row>
        <row r="21">
          <cell r="BC21" t="str">
            <v>Абатский муниципальный район</v>
          </cell>
        </row>
        <row r="22">
          <cell r="BC22" t="str">
            <v>Армизонский муниципальный район</v>
          </cell>
        </row>
        <row r="23">
          <cell r="BC23" t="str">
            <v>Аромашевский муниципальный район</v>
          </cell>
        </row>
        <row r="24">
          <cell r="BC24" t="str">
            <v>Бердюжский муниципальный район</v>
          </cell>
        </row>
        <row r="25">
          <cell r="BC25" t="str">
            <v>Вагайский муниципальный район</v>
          </cell>
        </row>
        <row r="26">
          <cell r="BC26" t="str">
            <v>Викуловский муниципальный район</v>
          </cell>
        </row>
        <row r="27">
          <cell r="BC27" t="str">
            <v>Голышмановский муниципальный район</v>
          </cell>
        </row>
        <row r="28">
          <cell r="BC28" t="str">
            <v>Исетский муниципальный район</v>
          </cell>
        </row>
        <row r="29">
          <cell r="BC29" t="str">
            <v>Ишимский муниципальный район</v>
          </cell>
        </row>
        <row r="30">
          <cell r="BC30" t="str">
            <v>Казанский муниципальный район</v>
          </cell>
        </row>
        <row r="31">
          <cell r="BC31" t="str">
            <v>Нижнетавдинский муниципальный район</v>
          </cell>
        </row>
        <row r="32">
          <cell r="BC32" t="str">
            <v>Омутинский муниципальный район</v>
          </cell>
        </row>
        <row r="33">
          <cell r="BC33" t="str">
            <v>Сладковский муниципальный район</v>
          </cell>
        </row>
        <row r="34">
          <cell r="BC34" t="str">
            <v>Сорокинский муниципальный район</v>
          </cell>
        </row>
        <row r="35">
          <cell r="BC35" t="str">
            <v>Тобольский муниципальный район</v>
          </cell>
        </row>
        <row r="36">
          <cell r="BC36" t="str">
            <v>Тюменский муниципальный район</v>
          </cell>
        </row>
        <row r="37">
          <cell r="BB37" t="str">
            <v>ОСНО</v>
          </cell>
          <cell r="BC37" t="str">
            <v>Уватский муниципальный район</v>
          </cell>
        </row>
        <row r="38">
          <cell r="BB38" t="str">
            <v>ЕСХН</v>
          </cell>
          <cell r="BC38" t="str">
            <v>Упоровский муниципальный район</v>
          </cell>
        </row>
        <row r="39">
          <cell r="BB39" t="str">
            <v>УСНО</v>
          </cell>
          <cell r="BC39" t="str">
            <v>Юргинский муниципальный район</v>
          </cell>
        </row>
        <row r="40">
          <cell r="BC40" t="str">
            <v>Ялуторовский муниципальный район</v>
          </cell>
        </row>
        <row r="41">
          <cell r="BC41" t="str">
            <v>Ярковский муниципальный район</v>
          </cell>
        </row>
      </sheetData>
      <sheetData sheetId="2"/>
      <sheetData sheetId="3"/>
      <sheetData sheetId="4"/>
      <sheetData sheetId="5"/>
      <sheetData sheetId="6" refreshError="1">
        <row r="5">
          <cell r="I5" t="str">
            <v>подземный</v>
          </cell>
        </row>
        <row r="7">
          <cell r="I7" t="str">
            <v>открытый</v>
          </cell>
        </row>
        <row r="8">
          <cell r="I8" t="str">
            <v>смешанный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бор субъекта РФ"/>
      <sheetName val="modfrmReestr"/>
      <sheetName val="modProv"/>
      <sheetName val="modChange"/>
      <sheetName val="mod_wb"/>
      <sheetName val="mod_Лист9"/>
      <sheetName val="mod_Лист11"/>
      <sheetName val="Инструкция"/>
      <sheetName val="Обновление"/>
      <sheetName val="Лог обновления"/>
      <sheetName val="Титульный"/>
      <sheetName val="Список листов"/>
      <sheetName val="Оценка"/>
      <sheetName val="Балансовые показатели"/>
      <sheetName val="Баланс с учетом счетчиков"/>
      <sheetName val="Баланс для заключения"/>
      <sheetName val="Протокол (упр.)"/>
      <sheetName val="Протокол (20э)"/>
      <sheetName val="Анализ (пер.)"/>
      <sheetName val="Анализ (пр.+пер.)"/>
      <sheetName val="Хар-ки товаров и услуг"/>
      <sheetName val="Оснащенность приборами учета"/>
      <sheetName val="Идеальный тариф, резерв"/>
      <sheetName val="Избыток-экономия"/>
      <sheetName val="Индикаторы-нормативы"/>
      <sheetName val="Комментарии"/>
      <sheetName val="Проверка"/>
      <sheetName val="et_union"/>
      <sheetName val="mod_frmREG"/>
      <sheetName val="mod_Лист10"/>
      <sheetName val="mod_Лист8"/>
      <sheetName val="mod_Лист6"/>
      <sheetName val="mod_Лист4"/>
      <sheetName val="mod_Dyn"/>
      <sheetName val="TEHSHEET"/>
      <sheetName val="AllSheetsInThisWorkbook"/>
      <sheetName val="REESTR_MO"/>
      <sheetName val="modfrmSetErr"/>
      <sheetName val="REESTR_FILTERED"/>
      <sheetName val="REESTR_ORG_VO"/>
      <sheetName val="REESTR_ORG_GAS"/>
      <sheetName val="REESTR_ORG_HOT_VS"/>
      <sheetName val="REESTR_ORG_WARM"/>
      <sheetName val="REESTR_ORG_TBO"/>
      <sheetName val="REESTR_ORG_VS"/>
      <sheetName val="REESTR_ORG_EE"/>
      <sheetName val="REESTR_ORG_VS_VO"/>
      <sheetName val="modfrmDateChoose"/>
      <sheetName val="modfrmMonthYearChoose"/>
      <sheetName val="modCommandButton"/>
      <sheetName val="modReestr"/>
      <sheetName val="modInfo"/>
      <sheetName val="modUpdTemplMain"/>
      <sheetName val="modServiceModule"/>
      <sheetName val="mod_Coms"/>
      <sheetName val="mod_Лист2"/>
      <sheetName val="mod_Лист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35">
          <cell r="M35">
            <v>0.43</v>
          </cell>
        </row>
      </sheetData>
      <sheetData sheetId="13">
        <row r="126">
          <cell r="E126">
            <v>4</v>
          </cell>
        </row>
        <row r="145">
          <cell r="E145">
            <v>0</v>
          </cell>
        </row>
        <row r="164">
          <cell r="E164">
            <v>0</v>
          </cell>
        </row>
        <row r="183">
          <cell r="E183">
            <v>0</v>
          </cell>
        </row>
        <row r="202">
          <cell r="E202">
            <v>0</v>
          </cell>
        </row>
        <row r="221">
          <cell r="E221">
            <v>0</v>
          </cell>
        </row>
        <row r="240">
          <cell r="E240">
            <v>0</v>
          </cell>
        </row>
        <row r="262">
          <cell r="E262">
            <v>0</v>
          </cell>
        </row>
      </sheetData>
      <sheetData sheetId="14" refreshError="1"/>
      <sheetData sheetId="15" refreshError="1"/>
      <sheetData sheetId="16">
        <row r="54">
          <cell r="S54">
            <v>0</v>
          </cell>
        </row>
        <row r="71">
          <cell r="O71">
            <v>241.42399999999998</v>
          </cell>
          <cell r="S71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">
          <cell r="E2">
            <v>2011</v>
          </cell>
        </row>
        <row r="3">
          <cell r="E3">
            <v>2012</v>
          </cell>
        </row>
        <row r="4">
          <cell r="E4">
            <v>2013</v>
          </cell>
        </row>
        <row r="5">
          <cell r="E5">
            <v>2014</v>
          </cell>
        </row>
        <row r="6">
          <cell r="E6">
            <v>2015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1.3"/>
      <sheetName val="XLR_NoRangeShee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Обновление"/>
      <sheetName val="Лог обновления"/>
      <sheetName val="Титульный"/>
      <sheetName val="Сети"/>
      <sheetName val="°С график"/>
      <sheetName val="Участки"/>
      <sheetName val="Оборудование сетей"/>
      <sheetName val="Тепловые пункты"/>
      <sheetName val="Оборудование ТП"/>
      <sheetName val="Насосные станции"/>
      <sheetName val="Оборудование НС"/>
      <sheetName val="Источники и приемники"/>
      <sheetName val="Удаленные объекты"/>
      <sheetName val="Комментарии"/>
      <sheetName val="Проверка"/>
      <sheetName val="et_union"/>
      <sheetName val="TEHSHEET"/>
      <sheetName val="AllSheetsInThisWorkbook"/>
      <sheetName val="modUpdTemplMain"/>
      <sheetName val="modFill"/>
      <sheetName val="REESTR_MO"/>
      <sheetName val="REESTR_ORG"/>
      <sheetName val="REESTR_KT"/>
      <sheetName val="REESTR_TP_NS"/>
      <sheetName val="REESTR_ORG_KT"/>
      <sheetName val="modReestr"/>
      <sheetName val="modfrmReestr"/>
      <sheetName val="modfrmReestrKT"/>
      <sheetName val="modHyp"/>
      <sheetName val="modList00"/>
      <sheetName val="modList02"/>
      <sheetName val="modList03"/>
      <sheetName val="modList04"/>
      <sheetName val="modList05"/>
      <sheetName val="modList06"/>
      <sheetName val="modList07"/>
      <sheetName val="modList08"/>
      <sheetName val="modList09"/>
      <sheetName val="modList10"/>
      <sheetName val="modList12"/>
      <sheetName val="modClassifierValid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O2" t="str">
            <v>с 1959г. по 1989г.</v>
          </cell>
          <cell r="W2" t="str">
            <v>На открытом воздухе</v>
          </cell>
          <cell r="Y2">
            <v>25</v>
          </cell>
          <cell r="Z2" t="str">
            <v>амортизация</v>
          </cell>
          <cell r="AC2" t="str">
            <v>рабочее</v>
          </cell>
        </row>
        <row r="3">
          <cell r="O3" t="str">
            <v>с 1990г. по 1997г.</v>
          </cell>
          <cell r="W3" t="str">
            <v>Внутри помещений</v>
          </cell>
          <cell r="Y3">
            <v>32</v>
          </cell>
          <cell r="Z3" t="str">
            <v>годовая плата</v>
          </cell>
          <cell r="AC3" t="str">
            <v>ремонт</v>
          </cell>
        </row>
        <row r="4">
          <cell r="O4" t="str">
            <v>с 1998г. по 2003г.</v>
          </cell>
          <cell r="W4" t="str">
            <v>Канальная</v>
          </cell>
          <cell r="Y4">
            <v>40</v>
          </cell>
          <cell r="Z4" t="str">
            <v>безвозмездное пользование</v>
          </cell>
          <cell r="AC4" t="str">
            <v>резерв</v>
          </cell>
        </row>
        <row r="5">
          <cell r="O5" t="str">
            <v>с 2004г.</v>
          </cell>
          <cell r="W5" t="str">
            <v>Бесканальная</v>
          </cell>
          <cell r="Y5">
            <v>50</v>
          </cell>
        </row>
        <row r="6">
          <cell r="W6" t="str">
            <v>В непроходных каналах</v>
          </cell>
          <cell r="Y6">
            <v>65</v>
          </cell>
        </row>
        <row r="7">
          <cell r="W7" t="str">
            <v>В тоннеле</v>
          </cell>
          <cell r="Y7">
            <v>70</v>
          </cell>
        </row>
        <row r="8">
          <cell r="Y8">
            <v>80</v>
          </cell>
        </row>
        <row r="9">
          <cell r="Y9">
            <v>100</v>
          </cell>
        </row>
        <row r="10">
          <cell r="Y10">
            <v>125</v>
          </cell>
        </row>
        <row r="11">
          <cell r="Y11">
            <v>150</v>
          </cell>
        </row>
        <row r="12">
          <cell r="Y12">
            <v>200</v>
          </cell>
        </row>
        <row r="13">
          <cell r="Y13">
            <v>250</v>
          </cell>
        </row>
        <row r="14">
          <cell r="Y14">
            <v>300</v>
          </cell>
        </row>
        <row r="15">
          <cell r="Y15">
            <v>400</v>
          </cell>
        </row>
        <row r="16">
          <cell r="Y16">
            <v>450</v>
          </cell>
        </row>
        <row r="17">
          <cell r="Y17">
            <v>500</v>
          </cell>
        </row>
        <row r="18">
          <cell r="Y18">
            <v>600</v>
          </cell>
        </row>
        <row r="19">
          <cell r="Y19">
            <v>700</v>
          </cell>
        </row>
        <row r="20">
          <cell r="Y20">
            <v>800</v>
          </cell>
        </row>
        <row r="21">
          <cell r="Y21">
            <v>900</v>
          </cell>
        </row>
        <row r="22">
          <cell r="Y22">
            <v>1000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Методология"/>
      <sheetName val="Лог обновления"/>
      <sheetName val="Титульный"/>
      <sheetName val="Производственные показатели"/>
      <sheetName val="Произв. показатели (итог)"/>
      <sheetName val="Финансовые показатели"/>
      <sheetName val="Фин. показатели (итог)"/>
      <sheetName val="Комментарии"/>
      <sheetName val="Проверка"/>
      <sheetName val="TEHSHEET"/>
      <sheetName val="et_union"/>
      <sheetName val="mod_wb"/>
      <sheetName val="AllSheetsInThisWorkbook"/>
      <sheetName val="modUpdTemplMain"/>
      <sheetName val="modfrmCheckUpdates"/>
      <sheetName val="modInfo"/>
      <sheetName val="modInstruction"/>
      <sheetName val="modServiceModule"/>
      <sheetName val="mod_Coms"/>
      <sheetName val="mod_Tit"/>
      <sheetName val="modCheck"/>
      <sheetName val="modCommandButton"/>
      <sheetName val="modLoad"/>
      <sheetName val="modfrmReestr"/>
      <sheetName val="modfrmDateChoose"/>
      <sheetName val="REESTR_MO"/>
      <sheetName val="mod_01"/>
      <sheetName val="mod_02"/>
      <sheetName val="mod_03"/>
      <sheetName val="mod_04"/>
      <sheetName val="REESTR_FILTERED"/>
      <sheetName val="REESTR_ORG_VS"/>
      <sheetName val="IND.ST.VS.2014.5"/>
      <sheetName val="Для РСТ  анализ эффект"/>
      <sheetName val="Предварительный тариф"/>
    </sheetNames>
    <sheetDataSet>
      <sheetData sheetId="0" refreshError="1"/>
      <sheetData sheetId="1"/>
      <sheetData sheetId="2" refreshError="1"/>
      <sheetData sheetId="3">
        <row r="15">
          <cell r="C15" t="str">
            <v>Мониторинг экономических показателей структуры тарифов в сфере водоснабжения</v>
          </cell>
        </row>
        <row r="22">
          <cell r="D22" t="str">
            <v>4 квартал</v>
          </cell>
        </row>
      </sheetData>
      <sheetData sheetId="4">
        <row r="15">
          <cell r="C15" t="str">
            <v>Мониторинг экономических показателей структуры тарифов в сфере водоснабжения</v>
          </cell>
        </row>
        <row r="19">
          <cell r="P19">
            <v>25.45</v>
          </cell>
        </row>
        <row r="20">
          <cell r="P20">
            <v>34</v>
          </cell>
        </row>
        <row r="21">
          <cell r="P21">
            <v>38.01</v>
          </cell>
        </row>
        <row r="22">
          <cell r="P22">
            <v>30</v>
          </cell>
        </row>
        <row r="23">
          <cell r="P23">
            <v>73</v>
          </cell>
        </row>
        <row r="24">
          <cell r="P24">
            <v>8.68</v>
          </cell>
        </row>
        <row r="25">
          <cell r="P25">
            <v>4.79</v>
          </cell>
        </row>
        <row r="27">
          <cell r="P27">
            <v>80.47</v>
          </cell>
        </row>
        <row r="28">
          <cell r="P28">
            <v>1.0189999999999999</v>
          </cell>
        </row>
        <row r="29">
          <cell r="P29">
            <v>1.67</v>
          </cell>
        </row>
        <row r="31">
          <cell r="P31">
            <v>47.6</v>
          </cell>
        </row>
        <row r="33">
          <cell r="P33">
            <v>64.599999999999994</v>
          </cell>
        </row>
        <row r="35">
          <cell r="P35">
            <v>0.64</v>
          </cell>
        </row>
        <row r="37">
          <cell r="P37">
            <v>21.84</v>
          </cell>
        </row>
        <row r="39">
          <cell r="P39">
            <v>13</v>
          </cell>
        </row>
        <row r="41">
          <cell r="P41">
            <v>0</v>
          </cell>
        </row>
        <row r="42">
          <cell r="P42">
            <v>4</v>
          </cell>
        </row>
        <row r="43">
          <cell r="P43">
            <v>1889.8589999999999</v>
          </cell>
        </row>
        <row r="44">
          <cell r="P44">
            <v>1198.049</v>
          </cell>
        </row>
        <row r="45">
          <cell r="P45">
            <v>691.81</v>
          </cell>
        </row>
        <row r="46">
          <cell r="P46">
            <v>18.690999999999999</v>
          </cell>
        </row>
        <row r="47">
          <cell r="P47">
            <v>2174.1089999999999</v>
          </cell>
        </row>
      </sheetData>
      <sheetData sheetId="5">
        <row r="2">
          <cell r="R2">
            <v>1</v>
          </cell>
        </row>
        <row r="19">
          <cell r="P19">
            <v>72.024500000000003</v>
          </cell>
        </row>
        <row r="21">
          <cell r="P21">
            <v>107.5775</v>
          </cell>
        </row>
        <row r="22">
          <cell r="P22">
            <v>90</v>
          </cell>
        </row>
        <row r="23">
          <cell r="P23">
            <v>219</v>
          </cell>
        </row>
        <row r="24">
          <cell r="P24">
            <v>106.3616</v>
          </cell>
        </row>
        <row r="25">
          <cell r="P25">
            <v>56.808900000000001</v>
          </cell>
        </row>
        <row r="26">
          <cell r="P26">
            <v>13.031700000000001</v>
          </cell>
        </row>
        <row r="27">
          <cell r="P27">
            <v>241.41</v>
          </cell>
        </row>
        <row r="28">
          <cell r="P28">
            <v>0</v>
          </cell>
        </row>
        <row r="29">
          <cell r="P29">
            <v>5.2131999999999996</v>
          </cell>
        </row>
        <row r="31">
          <cell r="P31">
            <v>141</v>
          </cell>
        </row>
        <row r="32">
          <cell r="P32">
            <v>11.2066</v>
          </cell>
        </row>
        <row r="33">
          <cell r="P33">
            <v>207.6</v>
          </cell>
        </row>
        <row r="34">
          <cell r="P34">
            <v>0.1037</v>
          </cell>
        </row>
        <row r="35">
          <cell r="P35">
            <v>1.92</v>
          </cell>
        </row>
        <row r="37">
          <cell r="P37">
            <v>65.52</v>
          </cell>
        </row>
        <row r="39">
          <cell r="P39">
            <v>39</v>
          </cell>
        </row>
        <row r="41">
          <cell r="P41">
            <v>0</v>
          </cell>
        </row>
        <row r="42">
          <cell r="P42">
            <v>27.6</v>
          </cell>
        </row>
        <row r="43">
          <cell r="P43">
            <v>872.52179999999998</v>
          </cell>
        </row>
        <row r="44">
          <cell r="P44">
            <v>459.6927</v>
          </cell>
        </row>
        <row r="45">
          <cell r="P45">
            <v>412.82889999999998</v>
          </cell>
        </row>
        <row r="46">
          <cell r="P46">
            <v>55.603000000000002</v>
          </cell>
        </row>
        <row r="47">
          <cell r="P47">
            <v>1518.1339</v>
          </cell>
        </row>
        <row r="48">
          <cell r="P48">
            <v>74257.170199999993</v>
          </cell>
        </row>
      </sheetData>
      <sheetData sheetId="6">
        <row r="18">
          <cell r="L18">
            <v>69106.473599999998</v>
          </cell>
        </row>
        <row r="20">
          <cell r="W20">
            <v>5838.98</v>
          </cell>
        </row>
        <row r="22">
          <cell r="W22">
            <v>3156.82</v>
          </cell>
        </row>
        <row r="23">
          <cell r="W23">
            <v>3.08</v>
          </cell>
        </row>
        <row r="24">
          <cell r="W24">
            <v>2905.35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19470.434000000001</v>
          </cell>
        </row>
        <row r="29">
          <cell r="W29">
            <v>5880.0739999999996</v>
          </cell>
        </row>
        <row r="31">
          <cell r="W31">
            <v>6045.06</v>
          </cell>
        </row>
        <row r="32">
          <cell r="W32">
            <v>1825.61</v>
          </cell>
        </row>
        <row r="33">
          <cell r="W33">
            <v>0</v>
          </cell>
        </row>
        <row r="34">
          <cell r="W34">
            <v>0</v>
          </cell>
        </row>
        <row r="35">
          <cell r="W35">
            <v>7618.76</v>
          </cell>
        </row>
        <row r="36">
          <cell r="W36">
            <v>0</v>
          </cell>
        </row>
        <row r="37">
          <cell r="W37">
            <v>9799.2000000000007</v>
          </cell>
        </row>
        <row r="39">
          <cell r="W39">
            <v>1723.68</v>
          </cell>
        </row>
        <row r="40">
          <cell r="W40">
            <v>0</v>
          </cell>
        </row>
        <row r="41">
          <cell r="W41">
            <v>0</v>
          </cell>
        </row>
        <row r="42">
          <cell r="W42">
            <v>0</v>
          </cell>
        </row>
        <row r="44">
          <cell r="W44">
            <v>1922.98</v>
          </cell>
        </row>
        <row r="45">
          <cell r="W45">
            <v>580.74</v>
          </cell>
        </row>
        <row r="46">
          <cell r="W46">
            <v>2199.25</v>
          </cell>
        </row>
        <row r="47">
          <cell r="W47">
            <v>0</v>
          </cell>
        </row>
        <row r="48">
          <cell r="W48">
            <v>0</v>
          </cell>
        </row>
        <row r="49">
          <cell r="W49">
            <v>0</v>
          </cell>
        </row>
        <row r="50">
          <cell r="W50">
            <v>102.43</v>
          </cell>
        </row>
        <row r="51">
          <cell r="W51">
            <v>27947.93</v>
          </cell>
        </row>
        <row r="52">
          <cell r="W52">
            <v>0</v>
          </cell>
        </row>
        <row r="53">
          <cell r="W53">
            <v>0</v>
          </cell>
        </row>
        <row r="55">
          <cell r="W55">
            <v>680.62</v>
          </cell>
        </row>
        <row r="56">
          <cell r="W56">
            <v>3.91</v>
          </cell>
        </row>
        <row r="57">
          <cell r="W57">
            <v>0</v>
          </cell>
        </row>
        <row r="58">
          <cell r="W58">
            <v>0</v>
          </cell>
        </row>
        <row r="59">
          <cell r="W59">
            <v>0</v>
          </cell>
        </row>
        <row r="60">
          <cell r="W60">
            <v>0</v>
          </cell>
        </row>
        <row r="61">
          <cell r="W61">
            <v>0</v>
          </cell>
        </row>
        <row r="62">
          <cell r="W62">
            <v>0</v>
          </cell>
        </row>
        <row r="64">
          <cell r="W64">
            <v>3403.1</v>
          </cell>
        </row>
        <row r="66">
          <cell r="W66">
            <v>55.77</v>
          </cell>
        </row>
        <row r="67">
          <cell r="W67">
            <v>58.15</v>
          </cell>
        </row>
      </sheetData>
      <sheetData sheetId="7">
        <row r="31">
          <cell r="O31">
            <v>5638.0646999999999</v>
          </cell>
        </row>
      </sheetData>
      <sheetData sheetId="8" refreshError="1"/>
      <sheetData sheetId="9" refreshError="1"/>
      <sheetData sheetId="10">
        <row r="2">
          <cell r="R2">
            <v>1</v>
          </cell>
        </row>
        <row r="4">
          <cell r="R4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2">
          <cell r="D2" t="str">
            <v>Белоярский муниципальный район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0">
          <cell r="P20">
            <v>0</v>
          </cell>
        </row>
      </sheetData>
      <sheetData sheetId="3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смета_пр_7"/>
      <sheetName val="смета расходов_2016"/>
      <sheetName val="пр_2_2_зарплата"/>
      <sheetName val="Приложение 2.1"/>
      <sheetName val="Приложение 2.1.1"/>
      <sheetName val="1.2.1 Электроэнергия"/>
      <sheetName val="Прогнозн цена электроэн"/>
      <sheetName val="Приложение 2.2.1"/>
      <sheetName val="цеховые_2015_2016"/>
      <sheetName val="пр_6_1_аренда"/>
      <sheetName val="план_атх_2016"/>
      <sheetName val="материалы_ремонт_2016"/>
      <sheetName val="средний_разряд"/>
      <sheetName val="средний_разряд_цех"/>
      <sheetName val="средний_разряд_полноват"/>
      <sheetName val="средний_разряд_казым"/>
      <sheetName val="индексы"/>
      <sheetName val="расчет_%_выплат_пп_2015"/>
      <sheetName val="расчет_%_выплат_пп_2016"/>
      <sheetName val="расчет_%_выплат_цех_2015"/>
      <sheetName val="расчет_%_выплат_цех_2016"/>
      <sheetName val="нормативная_численность_пп"/>
      <sheetName val="нормативная_численность_в"/>
      <sheetName val="прочие_2016"/>
      <sheetName val="моющие"/>
      <sheetName val="аттестация_2015"/>
      <sheetName val="медосмотр_2015"/>
      <sheetName val="льготный"/>
      <sheetName val="охрана_труда"/>
      <sheetName val="спецодежда_вода"/>
      <sheetName val="аттестация_2018"/>
      <sheetName val="качество_воды"/>
      <sheetName val="тревожная_кнопка"/>
      <sheetName val="охрана_объектов_вос"/>
      <sheetName val="дератизация_дезинфекция"/>
      <sheetName val="коммунальные_цеховые"/>
      <sheetName val="канц_товары_цех"/>
      <sheetName val="ремонт"/>
      <sheetName val="Планируем ФОТ(цех)"/>
      <sheetName val="Приложение 2.3"/>
      <sheetName val="5.1. Аморт"/>
      <sheetName val="Калькуляция_ Вода (2)"/>
      <sheetName val="прибыль"/>
      <sheetName val="Расш.прибыли"/>
      <sheetName val="индикатор_2014"/>
      <sheetName val="цеховые_факт_2014"/>
      <sheetName val="цеховые_факт_2014_прямые"/>
      <sheetName val="цеховые_полноват"/>
      <sheetName val="норматив_цех_полноват"/>
      <sheetName val="цеховые_казым"/>
      <sheetName val="норматив_цех_казым"/>
      <sheetName val="цеховые_белоярский"/>
      <sheetName val="охрана_объектов_расчет"/>
      <sheetName val="вода_факт_2014"/>
      <sheetName val="административные_2015_2016"/>
      <sheetName val="общехозяйственные_вода"/>
      <sheetName val="общехозяйственные_факт_2014"/>
      <sheetName val="форма_2_2014"/>
      <sheetName val="прейск население"/>
      <sheetName val="факт_машиночасы_2014"/>
      <sheetName val="ауп_2015"/>
      <sheetName val="управленческие расходы"/>
      <sheetName val="прочие_2015"/>
      <sheetName val="аттестация_2015_2018"/>
      <sheetName val="строка_2_2015"/>
      <sheetName val="строка_2_2016"/>
      <sheetName val="спецжиры"/>
      <sheetName val="полноват_цеховые"/>
      <sheetName val="казым_цеховые"/>
      <sheetName val="спецжиры_цех"/>
      <sheetName val="2_3_амортизация"/>
      <sheetName val="строка_3_административные"/>
      <sheetName val="прибыль_налоги_2015"/>
      <sheetName val="прибыль_налоги_2016"/>
      <sheetName val="пенсионеры_юбиляры"/>
      <sheetName val="смета_2015_выкуп"/>
      <sheetName val="смета_2015_льгота"/>
      <sheetName val="остатки_аренды"/>
      <sheetName val="амортизация_налог_циклы"/>
      <sheetName val="амортизация_налог_вос"/>
      <sheetName val="амортизация_налог_все"/>
      <sheetName val="5_1_амортизация"/>
      <sheetName val="цеховые_объемы_эл"/>
      <sheetName val="технологические_нужды"/>
      <sheetName val="технологические_объемы_эл"/>
      <sheetName val="ауп_белоярский"/>
      <sheetName val="строка_1_7_4_диспетчерская_рас"/>
      <sheetName val="диспетчерская"/>
      <sheetName val="Калькуляция_ Вода"/>
      <sheetName val="смета_пр_2"/>
      <sheetName val="факт_2014"/>
      <sheetName val="цеховые_2014_факт"/>
      <sheetName val="Админ расх"/>
      <sheetName val="1.4.1.Оплата труда произв рабоч"/>
      <sheetName val="расчет средн разр цех"/>
      <sheetName val="расчет %выплат "/>
      <sheetName val="Расчет %выплат цеховые"/>
      <sheetName val="нормативная_численность"/>
      <sheetName val="нормативная численность_в"/>
      <sheetName val="прочие"/>
      <sheetName val="Спецодежда и спецобувь "/>
      <sheetName val="Охрана труда"/>
      <sheetName val="Инструменты"/>
      <sheetName val="Аттестация работн"/>
      <sheetName val="Иссл кач пит воды"/>
      <sheetName val="тревож. сигн"/>
      <sheetName val="Услуги РКЦ"/>
      <sheetName val="Расчет материа"/>
      <sheetName val="Цеховые"/>
      <sheetName val="Прочие цеховые"/>
      <sheetName val=" расшиф_прочих_цех"/>
      <sheetName val="Планируем ФОТ(цех) (2)"/>
      <sheetName val="расш. к цеховым"/>
      <sheetName val="Спецодежда и спецобувь _цехов"/>
      <sheetName val="цеховые_факт"/>
      <sheetName val="канцелярия ЦехВОС"/>
      <sheetName val="6.1. Расш аренды "/>
      <sheetName val="технологические_нужды_объемы"/>
      <sheetName val="средний_разряд_общий_"/>
      <sheetName val="поверка_приборов"/>
      <sheetName val="производственные_2015"/>
      <sheetName val="производственные_2016"/>
      <sheetName val="качество_воды_сэс"/>
      <sheetName val="технологические_нужды_деньги"/>
      <sheetName val="качество_воды_лаборатория"/>
      <sheetName val="управленческие_расходы"/>
      <sheetName val="прибыль_налоги_2017"/>
      <sheetName val="прибыль_налоги_2018"/>
      <sheetName val="T0"/>
      <sheetName val="T25"/>
      <sheetName val="T31"/>
      <sheetName val="титульный"/>
      <sheetName val="TEHSHEET"/>
      <sheetName val="гкпз-2013 химки"/>
      <sheetName val="вода_моя"/>
      <sheetName val="справочники"/>
      <sheetName val="REESTR_MO"/>
    </sheetNames>
    <sheetDataSet>
      <sheetData sheetId="0"/>
      <sheetData sheetId="1"/>
      <sheetData sheetId="2"/>
      <sheetData sheetId="3">
        <row r="39">
          <cell r="C39">
            <v>7002.885240151586</v>
          </cell>
        </row>
      </sheetData>
      <sheetData sheetId="4"/>
      <sheetData sheetId="5"/>
      <sheetData sheetId="6">
        <row r="7">
          <cell r="D7">
            <v>6.7347231463930122</v>
          </cell>
        </row>
      </sheetData>
      <sheetData sheetId="7"/>
      <sheetData sheetId="8"/>
      <sheetData sheetId="9"/>
      <sheetData sheetId="10">
        <row r="7">
          <cell r="D7">
            <v>6.7347231463930122</v>
          </cell>
        </row>
      </sheetData>
      <sheetData sheetId="11"/>
      <sheetData sheetId="12"/>
      <sheetData sheetId="13">
        <row r="20">
          <cell r="W20">
            <v>4342.0182000000004</v>
          </cell>
        </row>
      </sheetData>
      <sheetData sheetId="14"/>
      <sheetData sheetId="15"/>
      <sheetData sheetId="16">
        <row r="102">
          <cell r="A102" t="str">
            <v>Исполнитель: А.В. Гусева, телефон: 62-900, добавочный 106.</v>
          </cell>
        </row>
      </sheetData>
      <sheetData sheetId="17"/>
      <sheetData sheetId="18"/>
      <sheetData sheetId="19">
        <row r="102">
          <cell r="A102" t="str">
            <v>Исполнитель: А.В. Гусева, телефон: 62-900, добавочный 106.</v>
          </cell>
        </row>
      </sheetData>
      <sheetData sheetId="20"/>
      <sheetData sheetId="21"/>
      <sheetData sheetId="22">
        <row r="102">
          <cell r="A102" t="str">
            <v>Исполнитель: А.В. Гусева, телефон: 62-900, добавочный 106.</v>
          </cell>
        </row>
      </sheetData>
      <sheetData sheetId="23"/>
      <sheetData sheetId="24"/>
      <sheetData sheetId="25">
        <row r="102">
          <cell r="A102" t="str">
            <v>Исполнитель: А.В. Гусева, телефон: 62-900, добавочный 106.</v>
          </cell>
        </row>
      </sheetData>
      <sheetData sheetId="26"/>
      <sheetData sheetId="27">
        <row r="102">
          <cell r="A102" t="str">
            <v>Исполнитель: А.В. Гусева, телефон: 62-900, добавочный 106.</v>
          </cell>
        </row>
      </sheetData>
      <sheetData sheetId="28"/>
      <sheetData sheetId="29"/>
      <sheetData sheetId="30"/>
      <sheetData sheetId="31"/>
      <sheetData sheetId="32">
        <row r="20">
          <cell r="W20">
            <v>4342.0182000000004</v>
          </cell>
        </row>
      </sheetData>
      <sheetData sheetId="33"/>
      <sheetData sheetId="34">
        <row r="20">
          <cell r="W20">
            <v>4342.0182000000004</v>
          </cell>
        </row>
      </sheetData>
      <sheetData sheetId="35"/>
      <sheetData sheetId="36">
        <row r="20">
          <cell r="W20">
            <v>4342.0182000000004</v>
          </cell>
        </row>
      </sheetData>
      <sheetData sheetId="37"/>
      <sheetData sheetId="38"/>
      <sheetData sheetId="39">
        <row r="20">
          <cell r="W20">
            <v>4342.0182000000004</v>
          </cell>
        </row>
      </sheetData>
      <sheetData sheetId="40"/>
      <sheetData sheetId="41">
        <row r="39">
          <cell r="C39">
            <v>7002.885240151586</v>
          </cell>
        </row>
      </sheetData>
      <sheetData sheetId="42">
        <row r="20">
          <cell r="W20">
            <v>4342.0182000000004</v>
          </cell>
        </row>
      </sheetData>
      <sheetData sheetId="43"/>
      <sheetData sheetId="44">
        <row r="39">
          <cell r="C39">
            <v>7002.885240151586</v>
          </cell>
        </row>
      </sheetData>
      <sheetData sheetId="45" refreshError="1">
        <row r="20">
          <cell r="W20">
            <v>4342.0182000000004</v>
          </cell>
        </row>
        <row r="21">
          <cell r="W21">
            <v>8905.7731999999996</v>
          </cell>
        </row>
        <row r="22">
          <cell r="W22">
            <v>2611.7835</v>
          </cell>
        </row>
        <row r="24">
          <cell r="W24">
            <v>4199.0137000000004</v>
          </cell>
        </row>
        <row r="25">
          <cell r="W25">
            <v>0</v>
          </cell>
        </row>
        <row r="26">
          <cell r="W26">
            <v>0</v>
          </cell>
        </row>
        <row r="27">
          <cell r="W27">
            <v>0</v>
          </cell>
        </row>
        <row r="28">
          <cell r="W28">
            <v>10309.347400000001</v>
          </cell>
        </row>
        <row r="29">
          <cell r="W29">
            <v>3097.116</v>
          </cell>
        </row>
        <row r="31">
          <cell r="W31">
            <v>4023.0947000000001</v>
          </cell>
        </row>
        <row r="32">
          <cell r="W32">
            <v>1214.9731999999999</v>
          </cell>
        </row>
        <row r="33">
          <cell r="W33">
            <v>0</v>
          </cell>
        </row>
        <row r="34">
          <cell r="W34">
            <v>0</v>
          </cell>
        </row>
        <row r="35">
          <cell r="W35">
            <v>3666.5538999999999</v>
          </cell>
        </row>
        <row r="36">
          <cell r="W36">
            <v>0</v>
          </cell>
        </row>
        <row r="37">
          <cell r="W37">
            <v>4748.1324000000004</v>
          </cell>
        </row>
        <row r="39">
          <cell r="W39">
            <v>2718.2019</v>
          </cell>
        </row>
        <row r="40">
          <cell r="W40">
            <v>0</v>
          </cell>
        </row>
        <row r="41">
          <cell r="W41">
            <v>0</v>
          </cell>
        </row>
        <row r="42">
          <cell r="W42">
            <v>0</v>
          </cell>
        </row>
        <row r="44">
          <cell r="W44">
            <v>3470.2727</v>
          </cell>
        </row>
        <row r="45">
          <cell r="W45">
            <v>1048.0236</v>
          </cell>
        </row>
        <row r="46">
          <cell r="W46">
            <v>2572.6131</v>
          </cell>
        </row>
        <row r="47">
          <cell r="W47">
            <v>0</v>
          </cell>
        </row>
        <row r="48">
          <cell r="W48">
            <v>0</v>
          </cell>
        </row>
        <row r="49">
          <cell r="W49">
            <v>0</v>
          </cell>
        </row>
        <row r="50">
          <cell r="W50">
            <v>60.013199999999998</v>
          </cell>
        </row>
        <row r="51">
          <cell r="W51">
            <v>17066.220099999999</v>
          </cell>
        </row>
        <row r="52">
          <cell r="W52">
            <v>0</v>
          </cell>
        </row>
        <row r="53">
          <cell r="W53">
            <v>0</v>
          </cell>
        </row>
        <row r="55">
          <cell r="W55">
            <v>0</v>
          </cell>
        </row>
        <row r="56">
          <cell r="W56">
            <v>0</v>
          </cell>
        </row>
        <row r="57">
          <cell r="W57">
            <v>0</v>
          </cell>
        </row>
        <row r="58">
          <cell r="W58">
            <v>0</v>
          </cell>
        </row>
        <row r="59">
          <cell r="W59">
            <v>0</v>
          </cell>
        </row>
        <row r="60">
          <cell r="W60">
            <v>0</v>
          </cell>
        </row>
        <row r="61">
          <cell r="W61">
            <v>0</v>
          </cell>
        </row>
        <row r="62">
          <cell r="W62">
            <v>310.30919999999998</v>
          </cell>
        </row>
        <row r="64">
          <cell r="W64">
            <v>-22469.9899</v>
          </cell>
        </row>
        <row r="65">
          <cell r="W65">
            <v>49281.686199999996</v>
          </cell>
        </row>
        <row r="68">
          <cell r="W68">
            <v>872.52179999999998</v>
          </cell>
        </row>
        <row r="72">
          <cell r="W72">
            <v>-1381.3468</v>
          </cell>
        </row>
        <row r="73">
          <cell r="W73">
            <v>2507.0626000000002</v>
          </cell>
        </row>
        <row r="74">
          <cell r="W74">
            <v>1057.0055</v>
          </cell>
        </row>
      </sheetData>
      <sheetData sheetId="46"/>
      <sheetData sheetId="47">
        <row r="39">
          <cell r="C39">
            <v>7002.885240151586</v>
          </cell>
        </row>
      </sheetData>
      <sheetData sheetId="48">
        <row r="20">
          <cell r="W20">
            <v>4342.0182000000004</v>
          </cell>
        </row>
      </sheetData>
      <sheetData sheetId="49"/>
      <sheetData sheetId="50">
        <row r="39">
          <cell r="C39">
            <v>7002.885240151586</v>
          </cell>
        </row>
      </sheetData>
      <sheetData sheetId="51">
        <row r="20">
          <cell r="W20">
            <v>4342.0182000000004</v>
          </cell>
        </row>
      </sheetData>
      <sheetData sheetId="52"/>
      <sheetData sheetId="53">
        <row r="39">
          <cell r="C39">
            <v>7002.885240151586</v>
          </cell>
        </row>
      </sheetData>
      <sheetData sheetId="54">
        <row r="7">
          <cell r="D7">
            <v>6.7347231463930122</v>
          </cell>
        </row>
      </sheetData>
      <sheetData sheetId="55"/>
      <sheetData sheetId="56">
        <row r="39">
          <cell r="C39">
            <v>7002.885240151586</v>
          </cell>
        </row>
      </sheetData>
      <sheetData sheetId="57">
        <row r="7">
          <cell r="D7">
            <v>6.7347231463930122</v>
          </cell>
        </row>
      </sheetData>
      <sheetData sheetId="58">
        <row r="7">
          <cell r="D7">
            <v>6.7347231463930122</v>
          </cell>
        </row>
      </sheetData>
      <sheetData sheetId="59">
        <row r="7">
          <cell r="D7">
            <v>6.7347231463930122</v>
          </cell>
        </row>
      </sheetData>
      <sheetData sheetId="60">
        <row r="7">
          <cell r="D7">
            <v>6.7347231463930122</v>
          </cell>
        </row>
      </sheetData>
      <sheetData sheetId="61">
        <row r="7">
          <cell r="D7">
            <v>6.7347231463930122</v>
          </cell>
        </row>
      </sheetData>
      <sheetData sheetId="62">
        <row r="7">
          <cell r="D7">
            <v>6.7347231463930122</v>
          </cell>
        </row>
      </sheetData>
      <sheetData sheetId="63">
        <row r="39">
          <cell r="C39">
            <v>7002.885240151586</v>
          </cell>
        </row>
      </sheetData>
      <sheetData sheetId="64"/>
      <sheetData sheetId="65">
        <row r="7">
          <cell r="D7">
            <v>6.7347231463930122</v>
          </cell>
        </row>
      </sheetData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Данные"/>
      <sheetName val="Данные - прош."/>
      <sheetName val="Бр. №1"/>
      <sheetName val="Бр. №2"/>
      <sheetName val="Бр. №3"/>
      <sheetName val="Бр. №4"/>
      <sheetName val="Бр. №5"/>
      <sheetName val="Бр. №6"/>
      <sheetName val="Бр. №8"/>
      <sheetName val="Бр. №9"/>
      <sheetName val="Бр. №10"/>
      <sheetName val="Бр. №11"/>
      <sheetName val="Хозрасчетная карта, Сентябрь, 2"/>
      <sheetName val="#ССЫ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S163"/>
  <sheetViews>
    <sheetView tabSelected="1" zoomScale="70" zoomScaleNormal="70" zoomScaleSheetLayoutView="70" workbookViewId="0">
      <pane xSplit="5" ySplit="6" topLeftCell="F115" activePane="bottomRight" state="frozen"/>
      <selection pane="topRight" activeCell="F1" sqref="F1"/>
      <selection pane="bottomLeft" activeCell="A5" sqref="A5"/>
      <selection pane="bottomRight" activeCell="P123" sqref="P123"/>
    </sheetView>
  </sheetViews>
  <sheetFormatPr defaultColWidth="9.140625" defaultRowHeight="19.5" outlineLevelRow="1" outlineLevelCol="1"/>
  <cols>
    <col min="1" max="1" width="9.5703125" style="7" customWidth="1"/>
    <col min="2" max="2" width="65.28515625" style="2" customWidth="1"/>
    <col min="3" max="3" width="16" style="9" customWidth="1"/>
    <col min="4" max="4" width="19.42578125" style="7" customWidth="1"/>
    <col min="5" max="5" width="21.85546875" style="4" customWidth="1"/>
    <col min="6" max="6" width="18.140625" style="6" customWidth="1"/>
    <col min="7" max="7" width="18.42578125" style="6" customWidth="1"/>
    <col min="8" max="8" width="18.140625" style="6" customWidth="1"/>
    <col min="9" max="9" width="18.28515625" style="6" bestFit="1" customWidth="1"/>
    <col min="10" max="11" width="16.5703125" style="6" customWidth="1"/>
    <col min="12" max="12" width="19.42578125" style="4" customWidth="1" outlineLevel="1"/>
    <col min="13" max="13" width="16.28515625" style="7" customWidth="1"/>
    <col min="14" max="14" width="16.7109375" style="7" customWidth="1"/>
    <col min="15" max="15" width="18.85546875" style="111" hidden="1" customWidth="1"/>
    <col min="16" max="16" width="13.7109375" style="7" bestFit="1" customWidth="1"/>
    <col min="17" max="17" width="14.28515625" style="7" bestFit="1" customWidth="1"/>
    <col min="18" max="19" width="13.7109375" style="7" bestFit="1" customWidth="1"/>
    <col min="20" max="16384" width="9.140625" style="7"/>
  </cols>
  <sheetData>
    <row r="1" spans="1:15" s="332" customFormat="1" ht="22.5" customHeight="1">
      <c r="B1" s="333"/>
      <c r="C1" s="334"/>
      <c r="E1" s="335"/>
      <c r="F1" s="336"/>
      <c r="G1" s="337">
        <f>G3-G2</f>
        <v>-3.2554743648827156E-5</v>
      </c>
      <c r="H1" s="337">
        <f t="shared" ref="H1:L1" si="0">H3-H2</f>
        <v>-2.7758559943080741E-5</v>
      </c>
      <c r="I1" s="337">
        <f t="shared" si="0"/>
        <v>-2.1262421648036156E-3</v>
      </c>
      <c r="J1" s="337">
        <f t="shared" si="0"/>
        <v>-1.143367460172251E-2</v>
      </c>
      <c r="K1" s="337">
        <f t="shared" si="0"/>
        <v>-6.2087340137328972E-4</v>
      </c>
      <c r="L1" s="337">
        <f t="shared" si="0"/>
        <v>-8.2386852745308659E-5</v>
      </c>
      <c r="O1" s="338"/>
    </row>
    <row r="2" spans="1:15" s="332" customFormat="1" ht="19.5" customHeight="1">
      <c r="B2" s="333"/>
      <c r="C2" s="334"/>
      <c r="E2" s="339"/>
      <c r="F2" s="327">
        <v>1.089970153139979</v>
      </c>
      <c r="G2" s="327">
        <v>1.06</v>
      </c>
      <c r="H2" s="327">
        <v>1.05</v>
      </c>
      <c r="I2" s="327">
        <v>1.04</v>
      </c>
      <c r="J2" s="327">
        <v>1.04</v>
      </c>
      <c r="K2" s="327">
        <v>1.04</v>
      </c>
      <c r="L2" s="327">
        <f>J2</f>
        <v>1.04</v>
      </c>
      <c r="M2" s="335"/>
      <c r="O2" s="338"/>
    </row>
    <row r="3" spans="1:15" s="332" customFormat="1" ht="23.25" customHeight="1">
      <c r="B3" s="333"/>
      <c r="C3" s="334"/>
      <c r="E3" s="340"/>
      <c r="F3" s="274">
        <f>F147</f>
        <v>1.0000017599589983</v>
      </c>
      <c r="G3" s="274">
        <f t="shared" ref="G3:J3" si="1">G147</f>
        <v>1.0599674452563512</v>
      </c>
      <c r="H3" s="274">
        <f t="shared" si="1"/>
        <v>1.049972241440057</v>
      </c>
      <c r="I3" s="274">
        <f>I147</f>
        <v>1.0378737578351964</v>
      </c>
      <c r="J3" s="274">
        <f t="shared" si="1"/>
        <v>1.0285663253982775</v>
      </c>
      <c r="K3" s="274">
        <f t="shared" ref="K3" si="2">K147</f>
        <v>1.0393791265986267</v>
      </c>
      <c r="L3" s="274">
        <f t="shared" ref="L3" si="3">L147</f>
        <v>1.0399176131472547</v>
      </c>
      <c r="O3" s="338"/>
    </row>
    <row r="4" spans="1:15" s="108" customFormat="1" ht="21.75" customHeight="1" thickBot="1">
      <c r="A4" s="398" t="s">
        <v>282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O4" s="111"/>
    </row>
    <row r="5" spans="1:15" s="8" customFormat="1" ht="59.25" customHeight="1">
      <c r="A5" s="399" t="s">
        <v>0</v>
      </c>
      <c r="B5" s="401" t="s">
        <v>2</v>
      </c>
      <c r="C5" s="401" t="s">
        <v>1</v>
      </c>
      <c r="D5" s="401" t="s">
        <v>268</v>
      </c>
      <c r="E5" s="401" t="s">
        <v>269</v>
      </c>
      <c r="F5" s="405" t="s">
        <v>142</v>
      </c>
      <c r="G5" s="405"/>
      <c r="H5" s="405"/>
      <c r="I5" s="405"/>
      <c r="J5" s="405"/>
      <c r="K5" s="406"/>
      <c r="L5" s="403" t="s">
        <v>143</v>
      </c>
      <c r="O5" s="112"/>
    </row>
    <row r="6" spans="1:15" s="8" customFormat="1" ht="54.75" customHeight="1" thickBot="1">
      <c r="A6" s="400"/>
      <c r="B6" s="402"/>
      <c r="C6" s="402"/>
      <c r="D6" s="402"/>
      <c r="E6" s="402"/>
      <c r="F6" s="127" t="s">
        <v>188</v>
      </c>
      <c r="G6" s="127" t="s">
        <v>189</v>
      </c>
      <c r="H6" s="127" t="s">
        <v>190</v>
      </c>
      <c r="I6" s="127" t="s">
        <v>191</v>
      </c>
      <c r="J6" s="127" t="s">
        <v>192</v>
      </c>
      <c r="K6" s="227" t="s">
        <v>221</v>
      </c>
      <c r="L6" s="404"/>
      <c r="O6" s="112"/>
    </row>
    <row r="7" spans="1:15" s="5" customFormat="1" ht="20.25" thickBot="1">
      <c r="A7" s="277">
        <v>1</v>
      </c>
      <c r="B7" s="278">
        <v>2</v>
      </c>
      <c r="C7" s="279">
        <v>3</v>
      </c>
      <c r="D7" s="278">
        <v>4</v>
      </c>
      <c r="E7" s="279">
        <v>5</v>
      </c>
      <c r="F7" s="278">
        <v>6</v>
      </c>
      <c r="G7" s="279">
        <v>7</v>
      </c>
      <c r="H7" s="278">
        <v>8</v>
      </c>
      <c r="I7" s="279">
        <v>9</v>
      </c>
      <c r="J7" s="278">
        <v>10</v>
      </c>
      <c r="K7" s="280">
        <v>11</v>
      </c>
      <c r="L7" s="226">
        <v>12</v>
      </c>
      <c r="O7" s="113"/>
    </row>
    <row r="8" spans="1:15" ht="21" thickBot="1">
      <c r="A8" s="386" t="s">
        <v>130</v>
      </c>
      <c r="B8" s="387"/>
      <c r="C8" s="387"/>
      <c r="D8" s="387"/>
      <c r="E8" s="387"/>
      <c r="F8" s="387"/>
      <c r="G8" s="387"/>
      <c r="H8" s="387"/>
      <c r="I8" s="387"/>
      <c r="J8" s="387"/>
      <c r="K8" s="388"/>
      <c r="L8" s="389"/>
    </row>
    <row r="9" spans="1:15" ht="20.25" customHeight="1">
      <c r="A9" s="281">
        <v>1</v>
      </c>
      <c r="B9" s="282" t="s">
        <v>135</v>
      </c>
      <c r="C9" s="283" t="s">
        <v>139</v>
      </c>
      <c r="D9" s="283"/>
      <c r="E9" s="283"/>
      <c r="F9" s="283"/>
      <c r="G9" s="283"/>
      <c r="H9" s="283"/>
      <c r="I9" s="283"/>
      <c r="J9" s="284"/>
      <c r="K9" s="285"/>
      <c r="L9" s="286"/>
    </row>
    <row r="10" spans="1:15" ht="20.25" customHeight="1">
      <c r="A10" s="287">
        <v>2</v>
      </c>
      <c r="B10" s="288" t="s">
        <v>132</v>
      </c>
      <c r="C10" s="130" t="s">
        <v>139</v>
      </c>
      <c r="D10" s="130"/>
      <c r="E10" s="130"/>
      <c r="F10" s="130"/>
      <c r="G10" s="130"/>
      <c r="H10" s="130"/>
      <c r="I10" s="130"/>
      <c r="J10" s="289"/>
      <c r="K10" s="45"/>
      <c r="L10" s="82"/>
    </row>
    <row r="11" spans="1:15" ht="20.25" customHeight="1">
      <c r="A11" s="287"/>
      <c r="B11" s="288" t="s">
        <v>140</v>
      </c>
      <c r="C11" s="130" t="s">
        <v>24</v>
      </c>
      <c r="D11" s="290"/>
      <c r="E11" s="290"/>
      <c r="F11" s="290"/>
      <c r="G11" s="290"/>
      <c r="H11" s="290"/>
      <c r="I11" s="290"/>
      <c r="J11" s="291"/>
      <c r="K11" s="292"/>
      <c r="L11" s="84"/>
    </row>
    <row r="12" spans="1:15" ht="20.25" customHeight="1">
      <c r="A12" s="287">
        <v>3</v>
      </c>
      <c r="B12" s="85" t="s">
        <v>133</v>
      </c>
      <c r="C12" s="130" t="s">
        <v>139</v>
      </c>
      <c r="D12" s="130"/>
      <c r="E12" s="130"/>
      <c r="F12" s="130"/>
      <c r="G12" s="130"/>
      <c r="H12" s="130"/>
      <c r="I12" s="130"/>
      <c r="J12" s="289"/>
      <c r="K12" s="45"/>
      <c r="L12" s="82"/>
    </row>
    <row r="13" spans="1:15">
      <c r="A13" s="287">
        <v>4</v>
      </c>
      <c r="B13" s="288" t="s">
        <v>134</v>
      </c>
      <c r="C13" s="130" t="s">
        <v>139</v>
      </c>
      <c r="D13" s="130">
        <v>2689.10275</v>
      </c>
      <c r="E13" s="130">
        <v>2584.3780498100496</v>
      </c>
      <c r="F13" s="130">
        <v>2584.37804981005</v>
      </c>
      <c r="G13" s="130">
        <f>G16+G18</f>
        <v>2654.9610499999999</v>
      </c>
      <c r="H13" s="130">
        <f t="shared" ref="H13:J13" si="4">H16+H18</f>
        <v>2688.1129545261474</v>
      </c>
      <c r="I13" s="130">
        <f t="shared" si="4"/>
        <v>2698.0996417749634</v>
      </c>
      <c r="J13" s="289">
        <f t="shared" si="4"/>
        <v>2784.4388303117621</v>
      </c>
      <c r="K13" s="45">
        <f>K16+K18</f>
        <v>2881.272712118649</v>
      </c>
      <c r="L13" s="82">
        <f>L16+L18</f>
        <v>2936.109517035381</v>
      </c>
    </row>
    <row r="14" spans="1:15">
      <c r="A14" s="287">
        <v>5</v>
      </c>
      <c r="B14" s="288" t="s">
        <v>136</v>
      </c>
      <c r="C14" s="130" t="s">
        <v>139</v>
      </c>
      <c r="D14" s="130"/>
      <c r="E14" s="130"/>
      <c r="F14" s="130"/>
      <c r="G14" s="130"/>
      <c r="H14" s="130"/>
      <c r="I14" s="130"/>
      <c r="J14" s="289"/>
      <c r="K14" s="45"/>
      <c r="L14" s="82"/>
    </row>
    <row r="15" spans="1:15" ht="23.25" customHeight="1">
      <c r="A15" s="287">
        <v>6</v>
      </c>
      <c r="B15" s="85" t="s">
        <v>137</v>
      </c>
      <c r="C15" s="130" t="s">
        <v>139</v>
      </c>
      <c r="D15" s="130"/>
      <c r="E15" s="130"/>
      <c r="F15" s="130"/>
      <c r="G15" s="293"/>
      <c r="H15" s="293"/>
      <c r="I15" s="293"/>
      <c r="J15" s="294"/>
      <c r="K15" s="295"/>
      <c r="L15" s="83"/>
    </row>
    <row r="16" spans="1:15" ht="21.75" customHeight="1">
      <c r="A16" s="296">
        <v>7</v>
      </c>
      <c r="B16" s="297" t="s">
        <v>131</v>
      </c>
      <c r="C16" s="298" t="s">
        <v>139</v>
      </c>
      <c r="D16" s="298">
        <v>134.21591899999996</v>
      </c>
      <c r="E16" s="298">
        <v>135.42140981004661</v>
      </c>
      <c r="F16" s="298">
        <v>135.42140981004661</v>
      </c>
      <c r="G16" s="298">
        <v>161.55367000000001</v>
      </c>
      <c r="H16" s="298">
        <v>163.57095452614726</v>
      </c>
      <c r="I16" s="298">
        <v>164.17864177496338</v>
      </c>
      <c r="J16" s="299">
        <v>169.43235831176221</v>
      </c>
      <c r="K16" s="300">
        <f>K18/J18*J16</f>
        <v>175.3246741279392</v>
      </c>
      <c r="L16" s="300">
        <f>L18/K18*K16</f>
        <v>178.66147904467127</v>
      </c>
    </row>
    <row r="17" spans="1:17">
      <c r="A17" s="287"/>
      <c r="B17" s="288" t="s">
        <v>141</v>
      </c>
      <c r="C17" s="130" t="s">
        <v>24</v>
      </c>
      <c r="D17" s="290">
        <f>D16/D13</f>
        <v>4.9911041517472679E-2</v>
      </c>
      <c r="E17" s="290">
        <f>E16/E13</f>
        <v>5.2400000000000009E-2</v>
      </c>
      <c r="F17" s="290">
        <f>F16/F13</f>
        <v>5.2399999999999995E-2</v>
      </c>
      <c r="G17" s="290">
        <f t="shared" ref="G17:I17" si="5">G16/G13</f>
        <v>6.0849732616604681E-2</v>
      </c>
      <c r="H17" s="290">
        <f t="shared" si="5"/>
        <v>6.0849732616604674E-2</v>
      </c>
      <c r="I17" s="290">
        <f t="shared" si="5"/>
        <v>6.0849732616604674E-2</v>
      </c>
      <c r="J17" s="291">
        <f>J16/J13</f>
        <v>6.0849732616604681E-2</v>
      </c>
      <c r="K17" s="292">
        <f>K16/K13</f>
        <v>6.0849732616604688E-2</v>
      </c>
      <c r="L17" s="84">
        <f>L16/L13</f>
        <v>6.0849732616604688E-2</v>
      </c>
    </row>
    <row r="18" spans="1:17" ht="30" customHeight="1" thickBot="1">
      <c r="A18" s="301">
        <v>8</v>
      </c>
      <c r="B18" s="302" t="s">
        <v>138</v>
      </c>
      <c r="C18" s="43" t="s">
        <v>139</v>
      </c>
      <c r="D18" s="43">
        <f t="shared" ref="D18:E18" si="6">D13-D14-D16</f>
        <v>2554.8868310000003</v>
      </c>
      <c r="E18" s="43">
        <f t="shared" si="6"/>
        <v>2448.9566400000031</v>
      </c>
      <c r="F18" s="43">
        <v>2448.9566400000035</v>
      </c>
      <c r="G18" s="43">
        <v>2493.4073800000001</v>
      </c>
      <c r="H18" s="43">
        <v>2524.5419999999999</v>
      </c>
      <c r="I18" s="43">
        <v>2533.9209999999998</v>
      </c>
      <c r="J18" s="79">
        <v>2615.006472</v>
      </c>
      <c r="K18" s="224">
        <f>2619.94803799071+86</f>
        <v>2705.94803799071</v>
      </c>
      <c r="L18" s="78">
        <f>K18+51.5</f>
        <v>2757.44803799071</v>
      </c>
    </row>
    <row r="19" spans="1:17" ht="21" thickBot="1">
      <c r="A19" s="390" t="s">
        <v>128</v>
      </c>
      <c r="B19" s="391"/>
      <c r="C19" s="391"/>
      <c r="D19" s="391"/>
      <c r="E19" s="391"/>
      <c r="F19" s="391"/>
      <c r="G19" s="391"/>
      <c r="H19" s="391"/>
      <c r="I19" s="391"/>
      <c r="J19" s="391"/>
      <c r="K19" s="392"/>
      <c r="L19" s="393"/>
    </row>
    <row r="20" spans="1:17">
      <c r="A20" s="95">
        <v>1</v>
      </c>
      <c r="B20" s="96" t="s">
        <v>206</v>
      </c>
      <c r="C20" s="97" t="s">
        <v>24</v>
      </c>
      <c r="D20" s="98"/>
      <c r="E20" s="98">
        <v>4.3</v>
      </c>
      <c r="F20" s="98">
        <v>6</v>
      </c>
      <c r="G20" s="98">
        <v>4.9000000000000004</v>
      </c>
      <c r="H20" s="98">
        <v>4</v>
      </c>
      <c r="I20" s="98">
        <v>4</v>
      </c>
      <c r="J20" s="98">
        <v>4</v>
      </c>
      <c r="K20" s="99">
        <v>4</v>
      </c>
      <c r="L20" s="375">
        <v>4</v>
      </c>
    </row>
    <row r="21" spans="1:17" ht="46.5" customHeight="1">
      <c r="A21" s="37">
        <v>2</v>
      </c>
      <c r="B21" s="128" t="s">
        <v>207</v>
      </c>
      <c r="C21" s="129" t="s">
        <v>24</v>
      </c>
      <c r="D21" s="130"/>
      <c r="E21" s="130">
        <v>1</v>
      </c>
      <c r="F21" s="130">
        <v>1</v>
      </c>
      <c r="G21" s="130">
        <v>1</v>
      </c>
      <c r="H21" s="130">
        <v>1</v>
      </c>
      <c r="I21" s="130">
        <v>1</v>
      </c>
      <c r="J21" s="130">
        <v>1</v>
      </c>
      <c r="K21" s="45">
        <v>1</v>
      </c>
      <c r="L21" s="82">
        <v>1</v>
      </c>
    </row>
    <row r="22" spans="1:17" ht="29.25" customHeight="1">
      <c r="A22" s="37">
        <v>3</v>
      </c>
      <c r="B22" s="128" t="s">
        <v>208</v>
      </c>
      <c r="C22" s="129" t="s">
        <v>210</v>
      </c>
      <c r="D22" s="130"/>
      <c r="E22" s="130"/>
      <c r="F22" s="131">
        <f>IF(F26=0,0,(F26-E26)/E26*100)</f>
        <v>0.35010449676886712</v>
      </c>
      <c r="G22" s="131">
        <f t="shared" ref="G22:K22" si="7">IF(G26=0,0,(G26-F26)/F26*100)</f>
        <v>1.2856710130258531</v>
      </c>
      <c r="H22" s="131">
        <f t="shared" si="7"/>
        <v>0</v>
      </c>
      <c r="I22" s="131">
        <f t="shared" si="7"/>
        <v>0</v>
      </c>
      <c r="J22" s="131">
        <f t="shared" si="7"/>
        <v>0</v>
      </c>
      <c r="K22" s="46">
        <f t="shared" si="7"/>
        <v>0</v>
      </c>
      <c r="L22" s="376">
        <f>IF(L26=0,0,(L26-J26)/J26*100)</f>
        <v>0</v>
      </c>
    </row>
    <row r="23" spans="1:17" s="30" customFormat="1" ht="18.75" customHeight="1">
      <c r="A23" s="37" t="s">
        <v>12</v>
      </c>
      <c r="B23" s="128" t="s">
        <v>211</v>
      </c>
      <c r="C23" s="129"/>
      <c r="D23" s="129"/>
      <c r="E23" s="130"/>
      <c r="F23" s="132"/>
      <c r="G23" s="130"/>
      <c r="H23" s="130"/>
      <c r="I23" s="132"/>
      <c r="J23" s="130"/>
      <c r="K23" s="45"/>
      <c r="L23" s="82"/>
      <c r="O23" s="114"/>
    </row>
    <row r="24" spans="1:17" s="31" customFormat="1" ht="18.75" customHeight="1">
      <c r="A24" s="38"/>
      <c r="B24" s="133" t="s">
        <v>212</v>
      </c>
      <c r="C24" s="129" t="s">
        <v>213</v>
      </c>
      <c r="D24" s="134"/>
      <c r="E24" s="135"/>
      <c r="F24" s="136"/>
      <c r="G24" s="130"/>
      <c r="H24" s="130"/>
      <c r="I24" s="130"/>
      <c r="J24" s="130"/>
      <c r="K24" s="45"/>
      <c r="L24" s="82"/>
      <c r="O24" s="114"/>
    </row>
    <row r="25" spans="1:17" s="30" customFormat="1" ht="18.75" customHeight="1">
      <c r="A25" s="37" t="s">
        <v>16</v>
      </c>
      <c r="B25" s="128" t="s">
        <v>214</v>
      </c>
      <c r="C25" s="129"/>
      <c r="D25" s="129"/>
      <c r="E25" s="130"/>
      <c r="F25" s="132"/>
      <c r="G25" s="132"/>
      <c r="H25" s="132"/>
      <c r="I25" s="132"/>
      <c r="J25" s="132"/>
      <c r="K25" s="47"/>
      <c r="L25" s="377"/>
      <c r="O25" s="114"/>
    </row>
    <row r="26" spans="1:17" s="32" customFormat="1" ht="19.5" customHeight="1">
      <c r="A26" s="37"/>
      <c r="B26" s="133" t="s">
        <v>215</v>
      </c>
      <c r="C26" s="129" t="s">
        <v>210</v>
      </c>
      <c r="D26" s="130">
        <f>E26</f>
        <v>2306.4827999999998</v>
      </c>
      <c r="E26" s="130">
        <v>2306.4827999999998</v>
      </c>
      <c r="F26" s="130">
        <v>2314.5579000000002</v>
      </c>
      <c r="G26" s="130">
        <v>2344.3155000000002</v>
      </c>
      <c r="H26" s="130">
        <v>2344.3155000000002</v>
      </c>
      <c r="I26" s="130">
        <v>2344.3155000000002</v>
      </c>
      <c r="J26" s="130">
        <f t="shared" ref="J26:L26" si="8">I26</f>
        <v>2344.3155000000002</v>
      </c>
      <c r="K26" s="45">
        <f t="shared" si="8"/>
        <v>2344.3155000000002</v>
      </c>
      <c r="L26" s="82">
        <f t="shared" si="8"/>
        <v>2344.3155000000002</v>
      </c>
      <c r="O26" s="114"/>
    </row>
    <row r="27" spans="1:17" ht="37.5">
      <c r="A27" s="37">
        <v>4</v>
      </c>
      <c r="B27" s="128" t="s">
        <v>209</v>
      </c>
      <c r="C27" s="130"/>
      <c r="D27" s="130"/>
      <c r="E27" s="130">
        <v>0.75</v>
      </c>
      <c r="F27" s="130">
        <v>0.75</v>
      </c>
      <c r="G27" s="130">
        <v>0.75</v>
      </c>
      <c r="H27" s="130">
        <f>G27</f>
        <v>0.75</v>
      </c>
      <c r="I27" s="130">
        <f t="shared" ref="I27:K27" si="9">H27</f>
        <v>0.75</v>
      </c>
      <c r="J27" s="130">
        <f t="shared" si="9"/>
        <v>0.75</v>
      </c>
      <c r="K27" s="45">
        <f t="shared" si="9"/>
        <v>0.75</v>
      </c>
      <c r="L27" s="82">
        <f>J27</f>
        <v>0.75</v>
      </c>
    </row>
    <row r="28" spans="1:17" ht="38.25" thickBot="1">
      <c r="A28" s="41">
        <v>5</v>
      </c>
      <c r="B28" s="44" t="s">
        <v>33</v>
      </c>
      <c r="C28" s="42" t="s">
        <v>24</v>
      </c>
      <c r="D28" s="43"/>
      <c r="E28" s="43"/>
      <c r="F28" s="48">
        <v>1.05215547</v>
      </c>
      <c r="G28" s="48">
        <f t="shared" ref="G28:J28" si="10">(1+G20/100)*(1-G21/100)*(1+G22/100*G27)</f>
        <v>1.048523866528031</v>
      </c>
      <c r="H28" s="48">
        <f t="shared" si="10"/>
        <v>1.0296000000000001</v>
      </c>
      <c r="I28" s="48">
        <f t="shared" si="10"/>
        <v>1.0296000000000001</v>
      </c>
      <c r="J28" s="48">
        <f t="shared" si="10"/>
        <v>1.0296000000000001</v>
      </c>
      <c r="K28" s="225">
        <f t="shared" ref="K28" si="11">(1+K20/100)*(1-K21/100)*(1+K22/100*K27)</f>
        <v>1.0296000000000001</v>
      </c>
      <c r="L28" s="378">
        <v>1.0296000000000001</v>
      </c>
    </row>
    <row r="29" spans="1:17" ht="21" thickBot="1">
      <c r="A29" s="394" t="s">
        <v>129</v>
      </c>
      <c r="B29" s="395"/>
      <c r="C29" s="395"/>
      <c r="D29" s="395"/>
      <c r="E29" s="395"/>
      <c r="F29" s="395"/>
      <c r="G29" s="395"/>
      <c r="H29" s="395"/>
      <c r="I29" s="395"/>
      <c r="J29" s="395"/>
      <c r="K29" s="396"/>
      <c r="L29" s="397"/>
    </row>
    <row r="30" spans="1:17" s="1" customFormat="1" ht="18.75">
      <c r="A30" s="303">
        <v>1</v>
      </c>
      <c r="B30" s="304" t="s">
        <v>26</v>
      </c>
      <c r="C30" s="305" t="s">
        <v>105</v>
      </c>
      <c r="D30" s="306">
        <f>D31+D32+D33+D53+D54+D55+D56+D57+D58+D59</f>
        <v>155049.93119851808</v>
      </c>
      <c r="E30" s="306">
        <f t="shared" ref="E30:L30" si="12">E31+E32+E33+E53+E54+E55+E56+E57+E58+E59</f>
        <v>174417.05826730968</v>
      </c>
      <c r="F30" s="306">
        <f t="shared" si="12"/>
        <v>183513.86191725859</v>
      </c>
      <c r="G30" s="306">
        <f t="shared" si="12"/>
        <v>192418.66405897515</v>
      </c>
      <c r="H30" s="306">
        <f t="shared" si="12"/>
        <v>198114.25651512083</v>
      </c>
      <c r="I30" s="306">
        <f t="shared" si="12"/>
        <v>203978.43850796841</v>
      </c>
      <c r="J30" s="307">
        <f t="shared" si="12"/>
        <v>210016.20028780427</v>
      </c>
      <c r="K30" s="307">
        <f t="shared" ref="K30" si="13">K31+K32+K33+K53+K54+K55+K56+K57+K58+K59</f>
        <v>216232.6798163233</v>
      </c>
      <c r="L30" s="308">
        <f t="shared" si="12"/>
        <v>222633.16713888652</v>
      </c>
      <c r="M30" s="197"/>
      <c r="N30" s="197"/>
      <c r="O30" s="197"/>
      <c r="P30" s="197"/>
      <c r="Q30" s="197"/>
    </row>
    <row r="31" spans="1:17" s="10" customFormat="1">
      <c r="A31" s="90" t="s">
        <v>145</v>
      </c>
      <c r="B31" s="201" t="s">
        <v>146</v>
      </c>
      <c r="C31" s="202" t="s">
        <v>105</v>
      </c>
      <c r="D31" s="199">
        <v>11614.291210000001</v>
      </c>
      <c r="E31" s="126">
        <v>10561.589898180206</v>
      </c>
      <c r="F31" s="203">
        <f>E31*$F$28</f>
        <v>11112.434583267046</v>
      </c>
      <c r="G31" s="203">
        <f>F31*$G$28</f>
        <v>11651.652875786971</v>
      </c>
      <c r="H31" s="203">
        <f>G31*$H$28</f>
        <v>11996.541800910267</v>
      </c>
      <c r="I31" s="203">
        <f>H31*$I$28</f>
        <v>12351.639438217211</v>
      </c>
      <c r="J31" s="93">
        <f>I31*$J$28</f>
        <v>12717.247965588442</v>
      </c>
      <c r="K31" s="93">
        <f>J31*$J$28</f>
        <v>13093.67850536986</v>
      </c>
      <c r="L31" s="94">
        <f>K31*$L$28</f>
        <v>13481.251389128809</v>
      </c>
      <c r="O31" s="115"/>
    </row>
    <row r="32" spans="1:17" s="10" customFormat="1">
      <c r="A32" s="90" t="s">
        <v>147</v>
      </c>
      <c r="B32" s="201" t="s">
        <v>148</v>
      </c>
      <c r="C32" s="202" t="s">
        <v>105</v>
      </c>
      <c r="D32" s="199">
        <v>6390.9594300000008</v>
      </c>
      <c r="E32" s="126">
        <v>17966.002735347796</v>
      </c>
      <c r="F32" s="203">
        <f t="shared" ref="F32:F34" si="14">E32*$F$28</f>
        <v>18903.028052031146</v>
      </c>
      <c r="G32" s="203">
        <f>F32*$G$28</f>
        <v>19820.276062203531</v>
      </c>
      <c r="H32" s="203">
        <f>G32*$H$28</f>
        <v>20406.956233644756</v>
      </c>
      <c r="I32" s="203">
        <f>H32*$I$28</f>
        <v>21011.002138160642</v>
      </c>
      <c r="J32" s="93">
        <f>I32*$J$28</f>
        <v>21632.927801450198</v>
      </c>
      <c r="K32" s="93">
        <f>J32*$J$28</f>
        <v>22273.262464373125</v>
      </c>
      <c r="L32" s="94">
        <f>K32*$L$28</f>
        <v>22932.55103331857</v>
      </c>
      <c r="O32" s="115"/>
    </row>
    <row r="33" spans="1:15" s="10" customFormat="1">
      <c r="A33" s="90" t="s">
        <v>149</v>
      </c>
      <c r="B33" s="201" t="s">
        <v>150</v>
      </c>
      <c r="C33" s="202" t="s">
        <v>105</v>
      </c>
      <c r="D33" s="200">
        <f>D38+D43+D48</f>
        <v>92502.406900000016</v>
      </c>
      <c r="E33" s="200">
        <f>E38+E43+E48</f>
        <v>96282.375245899893</v>
      </c>
      <c r="F33" s="203">
        <f t="shared" si="14"/>
        <v>101304.02777956617</v>
      </c>
      <c r="G33" s="200">
        <f t="shared" ref="G33:J34" si="15">G38+G43+G48</f>
        <v>106219.69090229378</v>
      </c>
      <c r="H33" s="200">
        <f t="shared" si="15"/>
        <v>109363.79375300166</v>
      </c>
      <c r="I33" s="200">
        <f t="shared" si="15"/>
        <v>112600.96204809053</v>
      </c>
      <c r="J33" s="40">
        <f t="shared" si="15"/>
        <v>115933.95052471402</v>
      </c>
      <c r="K33" s="40">
        <f t="shared" ref="K33" si="16">K38+K43+K48</f>
        <v>119365.59546024556</v>
      </c>
      <c r="L33" s="94">
        <f t="shared" ref="L33:L59" si="17">K33*$L$28</f>
        <v>122898.81708586884</v>
      </c>
      <c r="O33" s="115"/>
    </row>
    <row r="34" spans="1:15" s="10" customFormat="1">
      <c r="A34" s="90"/>
      <c r="B34" s="201" t="s">
        <v>151</v>
      </c>
      <c r="C34" s="202" t="s">
        <v>105</v>
      </c>
      <c r="D34" s="200">
        <f>D39+D44+D49</f>
        <v>91094.508960000006</v>
      </c>
      <c r="E34" s="200">
        <f>E39+E44+E49</f>
        <v>94572.078712075192</v>
      </c>
      <c r="F34" s="203">
        <f t="shared" si="14"/>
        <v>99504.529926180461</v>
      </c>
      <c r="G34" s="200">
        <f t="shared" si="15"/>
        <v>104332.87445525292</v>
      </c>
      <c r="H34" s="200">
        <f t="shared" si="15"/>
        <v>107421.1275391284</v>
      </c>
      <c r="I34" s="200">
        <f t="shared" si="15"/>
        <v>110600.79291428662</v>
      </c>
      <c r="J34" s="40">
        <f t="shared" si="15"/>
        <v>113874.57638454951</v>
      </c>
      <c r="K34" s="40">
        <f t="shared" ref="K34" si="18">K39+K44+K49</f>
        <v>117245.2638455322</v>
      </c>
      <c r="L34" s="94">
        <f t="shared" si="17"/>
        <v>120715.72365535997</v>
      </c>
      <c r="O34" s="115"/>
    </row>
    <row r="35" spans="1:15" s="10" customFormat="1">
      <c r="A35" s="90"/>
      <c r="B35" s="201" t="s">
        <v>152</v>
      </c>
      <c r="C35" s="202" t="s">
        <v>105</v>
      </c>
      <c r="D35" s="200">
        <f>D40+D45+D50</f>
        <v>75.08</v>
      </c>
      <c r="E35" s="200">
        <f t="shared" ref="E35:J35" si="19">E40+E45+E50</f>
        <v>96.1</v>
      </c>
      <c r="F35" s="200">
        <f t="shared" si="19"/>
        <v>96.1</v>
      </c>
      <c r="G35" s="200">
        <f t="shared" si="19"/>
        <v>96.1</v>
      </c>
      <c r="H35" s="200">
        <f t="shared" si="19"/>
        <v>96.1</v>
      </c>
      <c r="I35" s="200">
        <f t="shared" si="19"/>
        <v>96.1</v>
      </c>
      <c r="J35" s="40">
        <f t="shared" si="19"/>
        <v>96.1</v>
      </c>
      <c r="K35" s="40">
        <f t="shared" ref="K35:L35" si="20">K40+K45+K50</f>
        <v>96.1</v>
      </c>
      <c r="L35" s="309">
        <f t="shared" si="20"/>
        <v>96.1</v>
      </c>
      <c r="O35" s="115"/>
    </row>
    <row r="36" spans="1:15" s="10" customFormat="1">
      <c r="A36" s="90"/>
      <c r="B36" s="201" t="s">
        <v>153</v>
      </c>
      <c r="C36" s="202" t="s">
        <v>105</v>
      </c>
      <c r="D36" s="200">
        <f>D34/D35/12*1000</f>
        <v>101108.27224294088</v>
      </c>
      <c r="E36" s="200">
        <f t="shared" ref="E36:J36" si="21">E34/E35/12*1000</f>
        <v>82008.392917165445</v>
      </c>
      <c r="F36" s="200">
        <f t="shared" si="21"/>
        <v>86285.579193704893</v>
      </c>
      <c r="G36" s="200">
        <f t="shared" si="21"/>
        <v>90472.489121794075</v>
      </c>
      <c r="H36" s="200">
        <f t="shared" si="21"/>
        <v>93150.474799799165</v>
      </c>
      <c r="I36" s="200">
        <f t="shared" si="21"/>
        <v>95907.728853873254</v>
      </c>
      <c r="J36" s="40">
        <f t="shared" si="21"/>
        <v>98746.597627947893</v>
      </c>
      <c r="K36" s="40">
        <f t="shared" ref="K36" si="22">K34/K35/12*1000</f>
        <v>101669.49691773517</v>
      </c>
      <c r="L36" s="94">
        <f t="shared" si="17"/>
        <v>104678.91402650015</v>
      </c>
      <c r="O36" s="115"/>
    </row>
    <row r="37" spans="1:15" s="10" customFormat="1">
      <c r="A37" s="90"/>
      <c r="B37" s="201" t="s">
        <v>154</v>
      </c>
      <c r="C37" s="202" t="s">
        <v>105</v>
      </c>
      <c r="D37" s="200"/>
      <c r="E37" s="200"/>
      <c r="F37" s="200"/>
      <c r="G37" s="200">
        <f t="shared" ref="G37:J37" si="23">G42+G47+G52</f>
        <v>1886.8164470408519</v>
      </c>
      <c r="H37" s="200">
        <f t="shared" si="23"/>
        <v>1942.6662138732613</v>
      </c>
      <c r="I37" s="200">
        <f t="shared" si="23"/>
        <v>2000.16913380391</v>
      </c>
      <c r="J37" s="40">
        <f t="shared" si="23"/>
        <v>2059.3741401645061</v>
      </c>
      <c r="K37" s="40">
        <f t="shared" ref="K37" si="24">K42+K47+K52</f>
        <v>2120.3316147133755</v>
      </c>
      <c r="L37" s="94">
        <f t="shared" si="17"/>
        <v>2183.0934305088917</v>
      </c>
      <c r="O37" s="115"/>
    </row>
    <row r="38" spans="1:15" s="10" customFormat="1">
      <c r="A38" s="90" t="s">
        <v>155</v>
      </c>
      <c r="B38" s="201" t="s">
        <v>156</v>
      </c>
      <c r="C38" s="202" t="s">
        <v>105</v>
      </c>
      <c r="D38" s="200">
        <f>D39+D42</f>
        <v>34282.926260000015</v>
      </c>
      <c r="E38" s="200">
        <f t="shared" ref="E38:J38" si="25">E39+E42</f>
        <v>55399.03666326189</v>
      </c>
      <c r="F38" s="203">
        <f t="shared" ref="F38:F39" si="26">E38*$F$28</f>
        <v>58288.399457981541</v>
      </c>
      <c r="G38" s="200">
        <f t="shared" si="25"/>
        <v>61116.777973413198</v>
      </c>
      <c r="H38" s="200">
        <f t="shared" si="25"/>
        <v>62925.834601426228</v>
      </c>
      <c r="I38" s="200">
        <f t="shared" si="25"/>
        <v>64788.439305628453</v>
      </c>
      <c r="J38" s="40">
        <f t="shared" si="25"/>
        <v>66706.177109075055</v>
      </c>
      <c r="K38" s="40">
        <f t="shared" ref="K38" si="27">K39+K42</f>
        <v>68680.679951503684</v>
      </c>
      <c r="L38" s="94">
        <f t="shared" si="17"/>
        <v>70713.628078068199</v>
      </c>
      <c r="O38" s="115"/>
    </row>
    <row r="39" spans="1:15" s="10" customFormat="1">
      <c r="A39" s="90"/>
      <c r="B39" s="201" t="s">
        <v>151</v>
      </c>
      <c r="C39" s="202" t="s">
        <v>105</v>
      </c>
      <c r="D39" s="200">
        <v>33688.664560000012</v>
      </c>
      <c r="E39" s="126">
        <v>54284.550284776968</v>
      </c>
      <c r="F39" s="203">
        <f t="shared" si="26"/>
        <v>57115.786518618144</v>
      </c>
      <c r="G39" s="203">
        <f>F39*$G$28</f>
        <v>59887.265320291081</v>
      </c>
      <c r="H39" s="203">
        <f>G39*$H$28</f>
        <v>61659.928373771698</v>
      </c>
      <c r="I39" s="203">
        <f>H39*$I$28</f>
        <v>63485.062253635348</v>
      </c>
      <c r="J39" s="93">
        <f>I39*$J$28</f>
        <v>65364.220096342957</v>
      </c>
      <c r="K39" s="93">
        <f>J39*$J$28</f>
        <v>67299.001011194719</v>
      </c>
      <c r="L39" s="94">
        <f t="shared" si="17"/>
        <v>69291.051441126081</v>
      </c>
      <c r="O39" s="115"/>
    </row>
    <row r="40" spans="1:15" s="10" customFormat="1">
      <c r="A40" s="90"/>
      <c r="B40" s="201" t="s">
        <v>152</v>
      </c>
      <c r="C40" s="202" t="s">
        <v>105</v>
      </c>
      <c r="D40" s="200">
        <v>31.25</v>
      </c>
      <c r="E40" s="126">
        <v>63</v>
      </c>
      <c r="F40" s="203">
        <v>63</v>
      </c>
      <c r="G40" s="203">
        <f>F40</f>
        <v>63</v>
      </c>
      <c r="H40" s="203">
        <f t="shared" ref="H40:K40" si="28">G40</f>
        <v>63</v>
      </c>
      <c r="I40" s="203">
        <f t="shared" si="28"/>
        <v>63</v>
      </c>
      <c r="J40" s="93">
        <f t="shared" si="28"/>
        <v>63</v>
      </c>
      <c r="K40" s="93">
        <f t="shared" si="28"/>
        <v>63</v>
      </c>
      <c r="L40" s="94">
        <f>K40</f>
        <v>63</v>
      </c>
      <c r="O40" s="115"/>
    </row>
    <row r="41" spans="1:15" s="10" customFormat="1">
      <c r="A41" s="90"/>
      <c r="B41" s="201" t="s">
        <v>153</v>
      </c>
      <c r="C41" s="202" t="s">
        <v>105</v>
      </c>
      <c r="D41" s="200">
        <f>D39/D40/12*1000</f>
        <v>89836.438826666708</v>
      </c>
      <c r="E41" s="200">
        <f t="shared" ref="E41:J41" si="29">E39/E40/12*1000</f>
        <v>71804.960694149428</v>
      </c>
      <c r="F41" s="200">
        <f t="shared" si="29"/>
        <v>75549.982167484312</v>
      </c>
      <c r="G41" s="200">
        <f t="shared" si="29"/>
        <v>79215.959418374448</v>
      </c>
      <c r="H41" s="200">
        <f t="shared" si="29"/>
        <v>81560.751817158336</v>
      </c>
      <c r="I41" s="200">
        <f t="shared" si="29"/>
        <v>83974.95007094623</v>
      </c>
      <c r="J41" s="40">
        <f t="shared" si="29"/>
        <v>86460.608593046229</v>
      </c>
      <c r="K41" s="40">
        <f t="shared" ref="K41" si="30">K39/K40/12*1000</f>
        <v>89019.842607400438</v>
      </c>
      <c r="L41" s="94">
        <f t="shared" si="17"/>
        <v>91654.8299485795</v>
      </c>
      <c r="O41" s="115"/>
    </row>
    <row r="42" spans="1:15" s="10" customFormat="1">
      <c r="A42" s="90"/>
      <c r="B42" s="201" t="s">
        <v>154</v>
      </c>
      <c r="C42" s="202" t="s">
        <v>105</v>
      </c>
      <c r="D42" s="200">
        <v>594.26170000000013</v>
      </c>
      <c r="E42" s="126">
        <v>1114.486378484924</v>
      </c>
      <c r="F42" s="203">
        <f t="shared" ref="F42:F44" si="31">E42*$F$28</f>
        <v>1172.612939363403</v>
      </c>
      <c r="G42" s="203">
        <f>F42*$G$28</f>
        <v>1229.5126531221149</v>
      </c>
      <c r="H42" s="203">
        <f>G42*$H$28</f>
        <v>1265.9062276545296</v>
      </c>
      <c r="I42" s="203">
        <f>H42*$I$28</f>
        <v>1303.3770519931038</v>
      </c>
      <c r="J42" s="93">
        <f>I42*$J$28</f>
        <v>1341.9570127320999</v>
      </c>
      <c r="K42" s="93">
        <f>J42*$J$28</f>
        <v>1381.6789403089701</v>
      </c>
      <c r="L42" s="94">
        <f t="shared" si="17"/>
        <v>1422.5766369421158</v>
      </c>
      <c r="O42" s="115"/>
    </row>
    <row r="43" spans="1:15" s="10" customFormat="1">
      <c r="A43" s="90" t="s">
        <v>157</v>
      </c>
      <c r="B43" s="201" t="s">
        <v>158</v>
      </c>
      <c r="C43" s="202" t="s">
        <v>105</v>
      </c>
      <c r="D43" s="200">
        <f>D44+D47</f>
        <v>17911.863580000001</v>
      </c>
      <c r="E43" s="200">
        <f t="shared" ref="E43:J43" si="32">E44+E47</f>
        <v>21677.083429100156</v>
      </c>
      <c r="F43" s="203">
        <f t="shared" si="31"/>
        <v>22807.661903574084</v>
      </c>
      <c r="G43" s="200">
        <f t="shared" si="32"/>
        <v>23914.377845599567</v>
      </c>
      <c r="H43" s="200">
        <f t="shared" si="32"/>
        <v>24622.243429829316</v>
      </c>
      <c r="I43" s="200">
        <f t="shared" si="32"/>
        <v>25351.061835352266</v>
      </c>
      <c r="J43" s="40">
        <f t="shared" si="32"/>
        <v>26101.453265678691</v>
      </c>
      <c r="K43" s="40">
        <f t="shared" ref="K43" si="33">K44+K47</f>
        <v>26874.056282342783</v>
      </c>
      <c r="L43" s="94">
        <f t="shared" si="17"/>
        <v>27669.528348300129</v>
      </c>
      <c r="O43" s="115"/>
    </row>
    <row r="44" spans="1:15" s="10" customFormat="1">
      <c r="A44" s="90"/>
      <c r="B44" s="201" t="s">
        <v>151</v>
      </c>
      <c r="C44" s="202" t="s">
        <v>105</v>
      </c>
      <c r="D44" s="200">
        <v>17689.185710000002</v>
      </c>
      <c r="E44" s="126">
        <v>21378.600907398781</v>
      </c>
      <c r="F44" s="203">
        <f t="shared" si="31"/>
        <v>22493.611885666589</v>
      </c>
      <c r="G44" s="203">
        <f>F44*$G$28</f>
        <v>23585.088906540004</v>
      </c>
      <c r="H44" s="203">
        <f>G44*$H$28</f>
        <v>24283.207538173589</v>
      </c>
      <c r="I44" s="203">
        <f>H44*$I$28</f>
        <v>25001.990481303528</v>
      </c>
      <c r="J44" s="93">
        <f>I44*$J$28</f>
        <v>25742.049399550113</v>
      </c>
      <c r="K44" s="93">
        <f>J44*$J$28</f>
        <v>26504.014061776797</v>
      </c>
      <c r="L44" s="94">
        <f t="shared" si="17"/>
        <v>27288.532878005393</v>
      </c>
      <c r="O44" s="115"/>
    </row>
    <row r="45" spans="1:15" s="10" customFormat="1">
      <c r="A45" s="90"/>
      <c r="B45" s="201" t="s">
        <v>152</v>
      </c>
      <c r="C45" s="202" t="s">
        <v>105</v>
      </c>
      <c r="D45" s="200">
        <v>17.170000000000002</v>
      </c>
      <c r="E45" s="126">
        <v>18.8</v>
      </c>
      <c r="F45" s="203">
        <v>18.8</v>
      </c>
      <c r="G45" s="203">
        <f>F45</f>
        <v>18.8</v>
      </c>
      <c r="H45" s="203">
        <f t="shared" ref="H45:K45" si="34">G45</f>
        <v>18.8</v>
      </c>
      <c r="I45" s="203">
        <f t="shared" si="34"/>
        <v>18.8</v>
      </c>
      <c r="J45" s="93">
        <f t="shared" si="34"/>
        <v>18.8</v>
      </c>
      <c r="K45" s="93">
        <f t="shared" si="34"/>
        <v>18.8</v>
      </c>
      <c r="L45" s="94">
        <f>K45</f>
        <v>18.8</v>
      </c>
      <c r="O45" s="115"/>
    </row>
    <row r="46" spans="1:15" s="10" customFormat="1">
      <c r="A46" s="90"/>
      <c r="B46" s="201" t="s">
        <v>153</v>
      </c>
      <c r="C46" s="202" t="s">
        <v>105</v>
      </c>
      <c r="D46" s="200">
        <f>D44/D45/12*1000</f>
        <v>85853.163026596783</v>
      </c>
      <c r="E46" s="200">
        <f t="shared" ref="E46:J46" si="35">E44/E45/12*1000</f>
        <v>94763.30189449813</v>
      </c>
      <c r="F46" s="200">
        <f t="shared" si="35"/>
        <v>99705.726443557578</v>
      </c>
      <c r="G46" s="200">
        <f t="shared" si="35"/>
        <v>104543.83380558512</v>
      </c>
      <c r="H46" s="200">
        <f t="shared" si="35"/>
        <v>107638.33128623044</v>
      </c>
      <c r="I46" s="200">
        <f t="shared" si="35"/>
        <v>110824.42589230287</v>
      </c>
      <c r="J46" s="40">
        <f t="shared" si="35"/>
        <v>114104.82889871503</v>
      </c>
      <c r="K46" s="40">
        <f t="shared" ref="K46" si="36">K44/K45/12*1000</f>
        <v>117482.33183411701</v>
      </c>
      <c r="L46" s="94">
        <f t="shared" si="17"/>
        <v>120959.80885640687</v>
      </c>
      <c r="O46" s="115"/>
    </row>
    <row r="47" spans="1:15" s="10" customFormat="1">
      <c r="A47" s="90"/>
      <c r="B47" s="201" t="s">
        <v>154</v>
      </c>
      <c r="C47" s="202" t="s">
        <v>105</v>
      </c>
      <c r="D47" s="200">
        <v>222.67786999999998</v>
      </c>
      <c r="E47" s="126">
        <v>298.48252170137408</v>
      </c>
      <c r="F47" s="203">
        <f t="shared" ref="F47:F49" si="37">E47*$F$28</f>
        <v>314.05001790749446</v>
      </c>
      <c r="G47" s="203">
        <f>F47*$G$28</f>
        <v>329.28893905956346</v>
      </c>
      <c r="H47" s="203">
        <f>G47*$H$28</f>
        <v>339.03589165572657</v>
      </c>
      <c r="I47" s="203">
        <f>H47*$I$28</f>
        <v>349.07135404873611</v>
      </c>
      <c r="J47" s="93">
        <f>I47*$J$28</f>
        <v>359.40386612857873</v>
      </c>
      <c r="K47" s="93">
        <f>J47*$J$28</f>
        <v>370.04222056598468</v>
      </c>
      <c r="L47" s="94">
        <f t="shared" si="17"/>
        <v>380.99547029473786</v>
      </c>
      <c r="O47" s="115"/>
    </row>
    <row r="48" spans="1:15" s="10" customFormat="1">
      <c r="A48" s="90" t="s">
        <v>159</v>
      </c>
      <c r="B48" s="201" t="s">
        <v>160</v>
      </c>
      <c r="C48" s="202" t="s">
        <v>105</v>
      </c>
      <c r="D48" s="200">
        <f>D49+D52</f>
        <v>40307.617060000004</v>
      </c>
      <c r="E48" s="200">
        <f>E49+E52</f>
        <v>19206.255153537841</v>
      </c>
      <c r="F48" s="203">
        <f t="shared" si="37"/>
        <v>20207.966418010528</v>
      </c>
      <c r="G48" s="200">
        <f t="shared" ref="G48:J48" si="38">G49+G52</f>
        <v>21188.535083281007</v>
      </c>
      <c r="H48" s="200">
        <f t="shared" si="38"/>
        <v>21815.715721746124</v>
      </c>
      <c r="I48" s="200">
        <f t="shared" si="38"/>
        <v>22461.460907109813</v>
      </c>
      <c r="J48" s="40">
        <f t="shared" si="38"/>
        <v>23126.320149960266</v>
      </c>
      <c r="K48" s="40">
        <f t="shared" ref="K48" si="39">K49+K52</f>
        <v>23810.859226399094</v>
      </c>
      <c r="L48" s="94">
        <f t="shared" si="17"/>
        <v>24515.660659500511</v>
      </c>
      <c r="O48" s="115"/>
    </row>
    <row r="49" spans="1:19" s="10" customFormat="1">
      <c r="A49" s="90"/>
      <c r="B49" s="201" t="s">
        <v>151</v>
      </c>
      <c r="C49" s="202" t="s">
        <v>105</v>
      </c>
      <c r="D49" s="126">
        <v>39716.658690000004</v>
      </c>
      <c r="E49" s="126">
        <v>18908.927519899451</v>
      </c>
      <c r="F49" s="203">
        <f t="shared" si="37"/>
        <v>19895.131521895742</v>
      </c>
      <c r="G49" s="203">
        <f>F49*$G$28</f>
        <v>20860.520228421832</v>
      </c>
      <c r="H49" s="203">
        <f>G49*$H$28</f>
        <v>21477.991627183121</v>
      </c>
      <c r="I49" s="203">
        <f>H49*$I$28</f>
        <v>22113.740179347744</v>
      </c>
      <c r="J49" s="93">
        <f>I49*$J$28</f>
        <v>22768.30688865644</v>
      </c>
      <c r="K49" s="93">
        <f>J49*$J$28</f>
        <v>23442.248772560673</v>
      </c>
      <c r="L49" s="94">
        <f t="shared" si="17"/>
        <v>24136.139336228473</v>
      </c>
      <c r="O49" s="115"/>
    </row>
    <row r="50" spans="1:19" s="10" customFormat="1">
      <c r="A50" s="90"/>
      <c r="B50" s="201" t="s">
        <v>152</v>
      </c>
      <c r="C50" s="202" t="s">
        <v>105</v>
      </c>
      <c r="D50" s="126">
        <v>26.66</v>
      </c>
      <c r="E50" s="126">
        <v>14.3</v>
      </c>
      <c r="F50" s="203">
        <v>14.3</v>
      </c>
      <c r="G50" s="203">
        <f>F50</f>
        <v>14.3</v>
      </c>
      <c r="H50" s="203">
        <f t="shared" ref="H50:K50" si="40">G50</f>
        <v>14.3</v>
      </c>
      <c r="I50" s="203">
        <f t="shared" si="40"/>
        <v>14.3</v>
      </c>
      <c r="J50" s="93">
        <f t="shared" si="40"/>
        <v>14.3</v>
      </c>
      <c r="K50" s="93">
        <f t="shared" si="40"/>
        <v>14.3</v>
      </c>
      <c r="L50" s="94">
        <f>K50</f>
        <v>14.3</v>
      </c>
      <c r="O50" s="115"/>
    </row>
    <row r="51" spans="1:19" s="10" customFormat="1">
      <c r="A51" s="90"/>
      <c r="B51" s="201" t="s">
        <v>153</v>
      </c>
      <c r="C51" s="202" t="s">
        <v>105</v>
      </c>
      <c r="D51" s="200">
        <f>D49/D50/12*1000</f>
        <v>124145.59480495125</v>
      </c>
      <c r="E51" s="200">
        <f>E49/E50/12*1000</f>
        <v>110191.88531409935</v>
      </c>
      <c r="F51" s="200">
        <f t="shared" ref="F51:J51" si="41">F49/F50/12*1000</f>
        <v>115938.99488284232</v>
      </c>
      <c r="G51" s="200">
        <f t="shared" si="41"/>
        <v>121564.80319593142</v>
      </c>
      <c r="H51" s="200">
        <f t="shared" si="41"/>
        <v>125163.12137053099</v>
      </c>
      <c r="I51" s="200">
        <f t="shared" si="41"/>
        <v>128867.94976309872</v>
      </c>
      <c r="J51" s="40">
        <f t="shared" si="41"/>
        <v>132682.44107608646</v>
      </c>
      <c r="K51" s="40">
        <f t="shared" ref="K51" si="42">K49/K50/12*1000</f>
        <v>136609.84133193866</v>
      </c>
      <c r="L51" s="94">
        <f t="shared" si="17"/>
        <v>140653.49263536406</v>
      </c>
      <c r="O51" s="115"/>
    </row>
    <row r="52" spans="1:19" s="10" customFormat="1">
      <c r="A52" s="90"/>
      <c r="B52" s="201" t="s">
        <v>154</v>
      </c>
      <c r="C52" s="202" t="s">
        <v>105</v>
      </c>
      <c r="D52" s="126">
        <v>590.95836999999995</v>
      </c>
      <c r="E52" s="126">
        <v>297.32763363839109</v>
      </c>
      <c r="F52" s="203">
        <f t="shared" ref="F52:F59" si="43">E52*$F$28</f>
        <v>312.83489611478916</v>
      </c>
      <c r="G52" s="203">
        <f>F52*$G$28</f>
        <v>328.01485485917362</v>
      </c>
      <c r="H52" s="203">
        <f t="shared" ref="H52:H56" si="44">G52*$H$28</f>
        <v>337.72409456300517</v>
      </c>
      <c r="I52" s="203">
        <f>H52*$I$28</f>
        <v>347.72072776207017</v>
      </c>
      <c r="J52" s="93">
        <f t="shared" ref="J52:K56" si="45">I52*$J$28</f>
        <v>358.01326130382745</v>
      </c>
      <c r="K52" s="93">
        <f t="shared" si="45"/>
        <v>368.61045383842077</v>
      </c>
      <c r="L52" s="94">
        <f t="shared" si="17"/>
        <v>379.52132327203805</v>
      </c>
      <c r="O52" s="115"/>
    </row>
    <row r="53" spans="1:19" s="10" customFormat="1" ht="88.5" customHeight="1">
      <c r="A53" s="90" t="s">
        <v>161</v>
      </c>
      <c r="B53" s="201" t="s">
        <v>222</v>
      </c>
      <c r="C53" s="202" t="s">
        <v>105</v>
      </c>
      <c r="D53" s="126">
        <v>29243.834929999997</v>
      </c>
      <c r="E53" s="126">
        <v>19913.247273253291</v>
      </c>
      <c r="F53" s="203">
        <f t="shared" si="43"/>
        <v>20951.832044016035</v>
      </c>
      <c r="G53" s="203">
        <f>F53*$G$28</f>
        <v>21968.495945637591</v>
      </c>
      <c r="H53" s="203">
        <f t="shared" si="44"/>
        <v>22618.763425628465</v>
      </c>
      <c r="I53" s="203">
        <f>H53*$I$28</f>
        <v>23288.278823027071</v>
      </c>
      <c r="J53" s="93">
        <f t="shared" si="45"/>
        <v>23977.611876188672</v>
      </c>
      <c r="K53" s="93">
        <f t="shared" si="45"/>
        <v>24687.349187723859</v>
      </c>
      <c r="L53" s="94">
        <f t="shared" si="17"/>
        <v>25418.094723680486</v>
      </c>
      <c r="O53" s="115"/>
    </row>
    <row r="54" spans="1:19" s="10" customFormat="1" ht="37.5">
      <c r="A54" s="90" t="s">
        <v>162</v>
      </c>
      <c r="B54" s="201" t="s">
        <v>163</v>
      </c>
      <c r="C54" s="202" t="s">
        <v>105</v>
      </c>
      <c r="D54" s="126">
        <v>13767.851079999999</v>
      </c>
      <c r="E54" s="126">
        <v>24725.753040208096</v>
      </c>
      <c r="F54" s="203">
        <f t="shared" si="43"/>
        <v>26015.336311124076</v>
      </c>
      <c r="G54" s="203">
        <f>F54*$G$28</f>
        <v>27277.701017966898</v>
      </c>
      <c r="H54" s="203">
        <f t="shared" si="44"/>
        <v>28085.120968098719</v>
      </c>
      <c r="I54" s="203">
        <f>H54*$I$28</f>
        <v>28916.440548754443</v>
      </c>
      <c r="J54" s="93">
        <f t="shared" si="45"/>
        <v>29772.367188997578</v>
      </c>
      <c r="K54" s="93">
        <f t="shared" si="45"/>
        <v>30653.629257791908</v>
      </c>
      <c r="L54" s="94">
        <f t="shared" si="17"/>
        <v>31560.976683822551</v>
      </c>
      <c r="O54" s="115"/>
    </row>
    <row r="55" spans="1:19" s="10" customFormat="1">
      <c r="A55" s="90" t="s">
        <v>164</v>
      </c>
      <c r="B55" s="201" t="s">
        <v>165</v>
      </c>
      <c r="C55" s="202" t="s">
        <v>105</v>
      </c>
      <c r="D55" s="200">
        <v>261.18682000000001</v>
      </c>
      <c r="E55" s="126">
        <v>1086.7112044788437</v>
      </c>
      <c r="F55" s="203">
        <f t="shared" si="43"/>
        <v>1143.3891381027038</v>
      </c>
      <c r="G55" s="203">
        <f>F55*$G$28</f>
        <v>1198.8708000295996</v>
      </c>
      <c r="H55" s="203">
        <f t="shared" si="44"/>
        <v>1234.3573757104759</v>
      </c>
      <c r="I55" s="203">
        <f>H55*$I$28</f>
        <v>1270.8943540315061</v>
      </c>
      <c r="J55" s="93">
        <f t="shared" si="45"/>
        <v>1308.5128269108386</v>
      </c>
      <c r="K55" s="93">
        <f t="shared" si="45"/>
        <v>1347.2448065873996</v>
      </c>
      <c r="L55" s="94">
        <f t="shared" si="17"/>
        <v>1387.1232528623866</v>
      </c>
      <c r="O55" s="115"/>
    </row>
    <row r="56" spans="1:19" s="10" customFormat="1">
      <c r="A56" s="90" t="s">
        <v>166</v>
      </c>
      <c r="B56" s="201" t="s">
        <v>167</v>
      </c>
      <c r="C56" s="202" t="s">
        <v>105</v>
      </c>
      <c r="D56" s="200">
        <v>175.70008000000001</v>
      </c>
      <c r="E56" s="126">
        <v>517.58155178219363</v>
      </c>
      <c r="F56" s="203">
        <f t="shared" si="43"/>
        <v>544.57626087872325</v>
      </c>
      <c r="G56" s="203">
        <f>F56*$G$28</f>
        <v>571.0012066759366</v>
      </c>
      <c r="H56" s="203">
        <f t="shared" si="44"/>
        <v>587.90284239354435</v>
      </c>
      <c r="I56" s="203">
        <f>H56*$I$28</f>
        <v>605.30476652839332</v>
      </c>
      <c r="J56" s="93">
        <f t="shared" si="45"/>
        <v>623.22178761763382</v>
      </c>
      <c r="K56" s="93">
        <f t="shared" si="45"/>
        <v>641.66915253111586</v>
      </c>
      <c r="L56" s="94">
        <f t="shared" si="17"/>
        <v>660.66255944603688</v>
      </c>
      <c r="O56" s="115"/>
    </row>
    <row r="57" spans="1:19" s="10" customFormat="1">
      <c r="A57" s="90" t="s">
        <v>168</v>
      </c>
      <c r="B57" s="201" t="s">
        <v>174</v>
      </c>
      <c r="C57" s="202" t="s">
        <v>105</v>
      </c>
      <c r="D57" s="126"/>
      <c r="E57" s="126"/>
      <c r="F57" s="203">
        <f t="shared" si="43"/>
        <v>0</v>
      </c>
      <c r="G57" s="203"/>
      <c r="H57" s="203"/>
      <c r="I57" s="203"/>
      <c r="J57" s="93"/>
      <c r="K57" s="93"/>
      <c r="L57" s="94"/>
      <c r="O57" s="115"/>
    </row>
    <row r="58" spans="1:19" s="10" customFormat="1">
      <c r="A58" s="90" t="s">
        <v>169</v>
      </c>
      <c r="B58" s="201" t="s">
        <v>175</v>
      </c>
      <c r="C58" s="202" t="s">
        <v>105</v>
      </c>
      <c r="D58" s="126"/>
      <c r="E58" s="126"/>
      <c r="F58" s="203">
        <f t="shared" si="43"/>
        <v>0</v>
      </c>
      <c r="G58" s="203"/>
      <c r="H58" s="203"/>
      <c r="I58" s="203"/>
      <c r="J58" s="93"/>
      <c r="K58" s="93"/>
      <c r="L58" s="94"/>
      <c r="O58" s="116"/>
    </row>
    <row r="59" spans="1:19" s="10" customFormat="1">
      <c r="A59" s="90" t="s">
        <v>176</v>
      </c>
      <c r="B59" s="201" t="s">
        <v>187</v>
      </c>
      <c r="C59" s="202" t="s">
        <v>105</v>
      </c>
      <c r="D59" s="199">
        <v>1093.7007485180779</v>
      </c>
      <c r="E59" s="126">
        <v>3363.7973181593602</v>
      </c>
      <c r="F59" s="203">
        <f t="shared" si="43"/>
        <v>3539.2377482727011</v>
      </c>
      <c r="G59" s="203">
        <f>F59*$G$28</f>
        <v>3710.9752483808547</v>
      </c>
      <c r="H59" s="203">
        <f>G59*$H$28</f>
        <v>3820.8201157329281</v>
      </c>
      <c r="I59" s="203">
        <f>H59*$I$28</f>
        <v>3933.9163911586229</v>
      </c>
      <c r="J59" s="93">
        <f>I59*$J$28</f>
        <v>4050.3603163369185</v>
      </c>
      <c r="K59" s="93">
        <f>J59*$J$28</f>
        <v>4170.2509817004911</v>
      </c>
      <c r="L59" s="94">
        <f t="shared" si="17"/>
        <v>4293.6904107588261</v>
      </c>
      <c r="O59" s="116"/>
    </row>
    <row r="60" spans="1:19" s="17" customFormat="1">
      <c r="A60" s="16">
        <v>2</v>
      </c>
      <c r="B60" s="204" t="s">
        <v>11</v>
      </c>
      <c r="C60" s="205" t="s">
        <v>105</v>
      </c>
      <c r="D60" s="206">
        <f>D61+D62+D64+D65+D66+D67+D68+D71+D72+D73+D74</f>
        <v>179321.12041</v>
      </c>
      <c r="E60" s="206">
        <f t="shared" ref="E60:L60" si="46">E61+E62+E64+E65+E66+E67+E68+E71+E72+E73+E74</f>
        <v>114537.9712962526</v>
      </c>
      <c r="F60" s="206">
        <f>F61+F62+F64+F65+F66+F67+F68+F71+F72+F73+F74</f>
        <v>121945.31215400193</v>
      </c>
      <c r="G60" s="206">
        <f>G61+G62+G64+G65+G66+G67+G68+G71+G72+G73+G74</f>
        <v>140261.98670306089</v>
      </c>
      <c r="H60" s="206">
        <f t="shared" si="46"/>
        <v>146203.11282701185</v>
      </c>
      <c r="I60" s="206">
        <f t="shared" si="46"/>
        <v>175390.46774180428</v>
      </c>
      <c r="J60" s="50">
        <f>J61+J62+J64+J65+J66+J67+J68+J71+J72+J73+J74</f>
        <v>191218.20533974486</v>
      </c>
      <c r="K60" s="50">
        <f>K61+K62+K64+K65+K66+K67+K68+K71+K72+K73+K74</f>
        <v>184501.44256534631</v>
      </c>
      <c r="L60" s="33">
        <f t="shared" si="46"/>
        <v>186862.47019465055</v>
      </c>
      <c r="O60" s="117"/>
    </row>
    <row r="61" spans="1:19" ht="56.25">
      <c r="A61" s="37" t="s">
        <v>3</v>
      </c>
      <c r="B61" s="310" t="s">
        <v>41</v>
      </c>
      <c r="C61" s="129" t="s">
        <v>105</v>
      </c>
      <c r="D61" s="199">
        <v>6043.2174899999991</v>
      </c>
      <c r="E61" s="199">
        <v>3745.8775656437515</v>
      </c>
      <c r="F61" s="199">
        <v>334.74119329625597</v>
      </c>
      <c r="G61" s="199">
        <f>F61*(1+G20/100)</f>
        <v>351.14351176777251</v>
      </c>
      <c r="H61" s="199">
        <f>G61*(1+H20/100)</f>
        <v>365.18925223848345</v>
      </c>
      <c r="I61" s="199">
        <f t="shared" ref="I61:J61" si="47">H61*(1+I20/100)</f>
        <v>379.79682232802281</v>
      </c>
      <c r="J61" s="36">
        <f t="shared" si="47"/>
        <v>394.98869522114376</v>
      </c>
      <c r="K61" s="36">
        <f t="shared" ref="K61" si="48">J61*(1+K20/100)</f>
        <v>410.78824302998953</v>
      </c>
      <c r="L61" s="34">
        <f t="shared" ref="L61" si="49">K61*(1+L20/100)</f>
        <v>427.21977275118911</v>
      </c>
      <c r="O61" s="110"/>
    </row>
    <row r="62" spans="1:19" ht="36" customHeight="1">
      <c r="A62" s="37" t="s">
        <v>4</v>
      </c>
      <c r="B62" s="310" t="s">
        <v>144</v>
      </c>
      <c r="C62" s="129" t="s">
        <v>105</v>
      </c>
      <c r="D62" s="199">
        <v>7131.8575299999993</v>
      </c>
      <c r="E62" s="199">
        <v>6685.3254103943773</v>
      </c>
      <c r="F62" s="209">
        <v>9810.4458796925337</v>
      </c>
      <c r="G62" s="199">
        <v>10938.465306619521</v>
      </c>
      <c r="H62" s="199">
        <v>10231.785278884299</v>
      </c>
      <c r="I62" s="199">
        <v>9656.6274900396729</v>
      </c>
      <c r="J62" s="199">
        <v>9330.1373896412588</v>
      </c>
      <c r="K62" s="36">
        <v>9133.5049652269099</v>
      </c>
      <c r="L62" s="34">
        <f>K62/J62*K62</f>
        <v>8941.0165644979988</v>
      </c>
      <c r="N62" s="147"/>
      <c r="O62" s="147"/>
      <c r="P62" s="147"/>
      <c r="Q62" s="147"/>
      <c r="R62" s="147"/>
      <c r="S62" s="147"/>
    </row>
    <row r="63" spans="1:19" outlineLevel="1">
      <c r="A63" s="37" t="s">
        <v>42</v>
      </c>
      <c r="B63" s="310" t="s">
        <v>43</v>
      </c>
      <c r="C63" s="129" t="s">
        <v>105</v>
      </c>
      <c r="D63" s="199">
        <v>5153.1539699999994</v>
      </c>
      <c r="E63" s="199">
        <v>4825.1099999999997</v>
      </c>
      <c r="F63" s="209">
        <v>8048.0733333333337</v>
      </c>
      <c r="G63" s="199">
        <v>9165.8160000000007</v>
      </c>
      <c r="H63" s="199">
        <v>8388.23</v>
      </c>
      <c r="I63" s="199">
        <v>7739.33</v>
      </c>
      <c r="J63" s="199">
        <v>7336.1480000000001</v>
      </c>
      <c r="K63" s="36">
        <v>7059.7560000000003</v>
      </c>
      <c r="L63" s="34">
        <f>K63/J63*K63</f>
        <v>6793.7771674639071</v>
      </c>
      <c r="O63" s="109"/>
    </row>
    <row r="64" spans="1:19" outlineLevel="1">
      <c r="A64" s="37" t="s">
        <v>5</v>
      </c>
      <c r="B64" s="310" t="s">
        <v>44</v>
      </c>
      <c r="C64" s="129" t="s">
        <v>105</v>
      </c>
      <c r="D64" s="199"/>
      <c r="E64" s="199"/>
      <c r="F64" s="209"/>
      <c r="G64" s="199"/>
      <c r="H64" s="199"/>
      <c r="I64" s="199"/>
      <c r="J64" s="36"/>
      <c r="K64" s="36"/>
      <c r="L64" s="272"/>
      <c r="O64" s="110"/>
    </row>
    <row r="65" spans="1:19" outlineLevel="1">
      <c r="A65" s="37" t="s">
        <v>6</v>
      </c>
      <c r="B65" s="310" t="s">
        <v>7</v>
      </c>
      <c r="C65" s="129" t="s">
        <v>105</v>
      </c>
      <c r="D65" s="199">
        <v>8291.2344300000004</v>
      </c>
      <c r="E65" s="199">
        <v>8408.3426658489607</v>
      </c>
      <c r="F65" s="209">
        <v>9673.0301126448267</v>
      </c>
      <c r="G65" s="199">
        <v>12056.116180000001</v>
      </c>
      <c r="H65" s="199">
        <f>G65</f>
        <v>12056.116180000001</v>
      </c>
      <c r="I65" s="199">
        <f>H65</f>
        <v>12056.116180000001</v>
      </c>
      <c r="J65" s="36">
        <f>I65</f>
        <v>12056.116180000001</v>
      </c>
      <c r="K65" s="36">
        <f>J65</f>
        <v>12056.116180000001</v>
      </c>
      <c r="L65" s="272">
        <f>K65</f>
        <v>12056.116180000001</v>
      </c>
      <c r="O65" s="110"/>
    </row>
    <row r="66" spans="1:19">
      <c r="A66" s="37" t="s">
        <v>8</v>
      </c>
      <c r="B66" s="310" t="s">
        <v>45</v>
      </c>
      <c r="C66" s="129" t="s">
        <v>105</v>
      </c>
      <c r="D66" s="199">
        <v>5605.491</v>
      </c>
      <c r="E66" s="199">
        <v>793.66054875812324</v>
      </c>
      <c r="F66" s="209">
        <v>482.9</v>
      </c>
      <c r="G66" s="199">
        <v>534.1963463078016</v>
      </c>
      <c r="H66" s="199">
        <f>G66*(1+H20/100)</f>
        <v>555.56420016011373</v>
      </c>
      <c r="I66" s="199">
        <f t="shared" ref="I66:L66" si="50">H66*(1+I20/100)</f>
        <v>577.7867681665183</v>
      </c>
      <c r="J66" s="199">
        <f t="shared" si="50"/>
        <v>600.89823889317904</v>
      </c>
      <c r="K66" s="36">
        <f t="shared" si="50"/>
        <v>624.93416844890623</v>
      </c>
      <c r="L66" s="34">
        <f t="shared" si="50"/>
        <v>649.93153518686256</v>
      </c>
      <c r="O66" s="110"/>
    </row>
    <row r="67" spans="1:19">
      <c r="A67" s="37" t="s">
        <v>46</v>
      </c>
      <c r="B67" s="310" t="s">
        <v>9</v>
      </c>
      <c r="C67" s="129" t="s">
        <v>105</v>
      </c>
      <c r="D67" s="199">
        <v>23016.807229999999</v>
      </c>
      <c r="E67" s="199">
        <v>22262.205161508471</v>
      </c>
      <c r="F67" s="209">
        <v>25114.554483996999</v>
      </c>
      <c r="G67" s="209">
        <f>G34*26%</f>
        <v>27126.547358365762</v>
      </c>
      <c r="H67" s="209">
        <f t="shared" ref="H67:L67" si="51">H34*26%</f>
        <v>27929.493160173384</v>
      </c>
      <c r="I67" s="209">
        <f t="shared" si="51"/>
        <v>28756.206157714521</v>
      </c>
      <c r="J67" s="209">
        <f t="shared" si="51"/>
        <v>29607.389859982872</v>
      </c>
      <c r="K67" s="53">
        <f t="shared" si="51"/>
        <v>30483.768599838375</v>
      </c>
      <c r="L67" s="94">
        <f t="shared" si="51"/>
        <v>31386.088150393593</v>
      </c>
      <c r="N67" s="92"/>
      <c r="O67" s="118"/>
      <c r="P67" s="92"/>
      <c r="Q67" s="92"/>
      <c r="R67" s="92"/>
      <c r="S67" s="92"/>
    </row>
    <row r="68" spans="1:19" s="11" customFormat="1" ht="51.75" customHeight="1">
      <c r="A68" s="311" t="s">
        <v>47</v>
      </c>
      <c r="B68" s="312" t="s">
        <v>171</v>
      </c>
      <c r="C68" s="313" t="s">
        <v>105</v>
      </c>
      <c r="D68" s="210">
        <v>101263.61973000001</v>
      </c>
      <c r="E68" s="210">
        <v>72434.302262706187</v>
      </c>
      <c r="F68" s="210">
        <v>76186</v>
      </c>
      <c r="G68" s="210">
        <v>88392.788</v>
      </c>
      <c r="H68" s="210">
        <v>94167.725555555546</v>
      </c>
      <c r="I68" s="210">
        <v>123030.80555555555</v>
      </c>
      <c r="J68" s="39">
        <v>138258.2210572864</v>
      </c>
      <c r="K68" s="39">
        <v>130783.05833333335</v>
      </c>
      <c r="L68" s="346">
        <v>132352.45503333336</v>
      </c>
      <c r="O68" s="119"/>
    </row>
    <row r="69" spans="1:19" ht="37.5" hidden="1">
      <c r="A69" s="37" t="s">
        <v>48</v>
      </c>
      <c r="B69" s="310" t="s">
        <v>177</v>
      </c>
      <c r="C69" s="129" t="s">
        <v>105</v>
      </c>
      <c r="D69" s="209"/>
      <c r="E69" s="209">
        <f>E68</f>
        <v>72434.302262706187</v>
      </c>
      <c r="F69" s="199">
        <f>72985.56+3200</f>
        <v>76185.56</v>
      </c>
      <c r="G69" s="199">
        <v>86361</v>
      </c>
      <c r="H69" s="199">
        <f>91479.84+19650+2469.58-23100</f>
        <v>90499.42</v>
      </c>
      <c r="I69" s="199">
        <f>99262.5+20100</f>
        <v>119362.5</v>
      </c>
      <c r="J69" s="36">
        <f>110421.87+26200</f>
        <v>136621.87</v>
      </c>
      <c r="K69" s="36">
        <f>110421.87+26200</f>
        <v>136621.87</v>
      </c>
      <c r="L69" s="34">
        <f>J69*1.092</f>
        <v>149191.08204000001</v>
      </c>
      <c r="O69" s="110"/>
    </row>
    <row r="70" spans="1:19" ht="37.5" hidden="1">
      <c r="A70" s="37" t="s">
        <v>170</v>
      </c>
      <c r="B70" s="310" t="s">
        <v>172</v>
      </c>
      <c r="C70" s="129" t="s">
        <v>105</v>
      </c>
      <c r="D70" s="209"/>
      <c r="E70" s="209"/>
      <c r="F70" s="199"/>
      <c r="G70" s="199"/>
      <c r="H70" s="199">
        <v>3668.3055555555502</v>
      </c>
      <c r="I70" s="199">
        <f>H70</f>
        <v>3668.3055555555502</v>
      </c>
      <c r="J70" s="36">
        <f>I70</f>
        <v>3668.3055555555502</v>
      </c>
      <c r="K70" s="36">
        <f>J70</f>
        <v>3668.3055555555502</v>
      </c>
      <c r="L70" s="34">
        <f>J70</f>
        <v>3668.3055555555502</v>
      </c>
      <c r="O70" s="110"/>
    </row>
    <row r="71" spans="1:19" ht="37.5" hidden="1">
      <c r="A71" s="37" t="s">
        <v>49</v>
      </c>
      <c r="B71" s="310" t="s">
        <v>50</v>
      </c>
      <c r="C71" s="129" t="s">
        <v>105</v>
      </c>
      <c r="D71" s="209"/>
      <c r="E71" s="209"/>
      <c r="F71" s="199"/>
      <c r="G71" s="199"/>
      <c r="H71" s="199"/>
      <c r="I71" s="199"/>
      <c r="J71" s="36"/>
      <c r="K71" s="36"/>
      <c r="L71" s="34"/>
      <c r="O71" s="110"/>
    </row>
    <row r="72" spans="1:19" ht="75" hidden="1">
      <c r="A72" s="37" t="s">
        <v>51</v>
      </c>
      <c r="B72" s="310" t="s">
        <v>114</v>
      </c>
      <c r="C72" s="129" t="s">
        <v>105</v>
      </c>
      <c r="D72" s="209"/>
      <c r="E72" s="209"/>
      <c r="F72" s="209"/>
      <c r="G72" s="209"/>
      <c r="H72" s="209"/>
      <c r="I72" s="209"/>
      <c r="J72" s="53"/>
      <c r="K72" s="53"/>
      <c r="L72" s="54"/>
      <c r="O72" s="110"/>
    </row>
    <row r="73" spans="1:19" ht="75" hidden="1">
      <c r="A73" s="37" t="s">
        <v>52</v>
      </c>
      <c r="B73" s="310" t="s">
        <v>116</v>
      </c>
      <c r="C73" s="129" t="s">
        <v>105</v>
      </c>
      <c r="D73" s="209"/>
      <c r="E73" s="209"/>
      <c r="F73" s="209"/>
      <c r="G73" s="209"/>
      <c r="H73" s="209"/>
      <c r="I73" s="209"/>
      <c r="J73" s="53"/>
      <c r="K73" s="53"/>
      <c r="L73" s="54"/>
      <c r="O73" s="110"/>
    </row>
    <row r="74" spans="1:19">
      <c r="A74" s="37" t="s">
        <v>115</v>
      </c>
      <c r="B74" s="310" t="s">
        <v>10</v>
      </c>
      <c r="C74" s="129" t="s">
        <v>105</v>
      </c>
      <c r="D74" s="199">
        <v>27968.893</v>
      </c>
      <c r="E74" s="199">
        <v>208.25768139273521</v>
      </c>
      <c r="F74" s="126">
        <v>343.64048437130771</v>
      </c>
      <c r="G74" s="126">
        <f>((G123)*100/80)*20%</f>
        <v>862.73</v>
      </c>
      <c r="H74" s="126">
        <f t="shared" ref="H74:L74" si="52">((H123)*100/80)*20%</f>
        <v>897.23920000000021</v>
      </c>
      <c r="I74" s="126">
        <f t="shared" si="52"/>
        <v>933.12876800000015</v>
      </c>
      <c r="J74" s="126">
        <f t="shared" si="52"/>
        <v>970.45391872000027</v>
      </c>
      <c r="K74" s="271">
        <f t="shared" ref="K74" si="53">((K123)*100/80)*20%</f>
        <v>1009.2720754688003</v>
      </c>
      <c r="L74" s="272">
        <f t="shared" si="52"/>
        <v>1049.6429584875523</v>
      </c>
      <c r="O74" s="110"/>
    </row>
    <row r="75" spans="1:19" s="1" customFormat="1" ht="37.5">
      <c r="A75" s="16">
        <v>3</v>
      </c>
      <c r="B75" s="204" t="s">
        <v>173</v>
      </c>
      <c r="C75" s="205" t="s">
        <v>105</v>
      </c>
      <c r="D75" s="206">
        <f t="shared" ref="D75:L75" si="54">D76+D100+D107+D113</f>
        <v>1393339.5927500001</v>
      </c>
      <c r="E75" s="206">
        <f t="shared" si="54"/>
        <v>1398733.9353115589</v>
      </c>
      <c r="F75" s="206">
        <f t="shared" si="54"/>
        <v>1554943.0981720244</v>
      </c>
      <c r="G75" s="206">
        <f t="shared" si="54"/>
        <v>1642066.9063253</v>
      </c>
      <c r="H75" s="206">
        <f t="shared" si="54"/>
        <v>1729073.869469905</v>
      </c>
      <c r="I75" s="206">
        <f t="shared" si="54"/>
        <v>1804917.5065960847</v>
      </c>
      <c r="J75" s="50">
        <f t="shared" si="54"/>
        <v>1937181.8614794458</v>
      </c>
      <c r="K75" s="50">
        <f t="shared" ref="K75" si="55">K76+K100+K107+K113</f>
        <v>2084732.8884138828</v>
      </c>
      <c r="L75" s="33">
        <f t="shared" si="54"/>
        <v>2209386.2237822302</v>
      </c>
      <c r="O75" s="110"/>
    </row>
    <row r="76" spans="1:19" s="1" customFormat="1" hidden="1" outlineLevel="1">
      <c r="A76" s="311" t="s">
        <v>12</v>
      </c>
      <c r="B76" s="312" t="s">
        <v>178</v>
      </c>
      <c r="C76" s="313" t="s">
        <v>105</v>
      </c>
      <c r="D76" s="223">
        <f>D77</f>
        <v>0</v>
      </c>
      <c r="E76" s="223">
        <f t="shared" ref="E76:L76" si="56">E77</f>
        <v>0</v>
      </c>
      <c r="F76" s="223">
        <f t="shared" si="56"/>
        <v>0</v>
      </c>
      <c r="G76" s="223">
        <f t="shared" si="56"/>
        <v>0</v>
      </c>
      <c r="H76" s="223">
        <f t="shared" si="56"/>
        <v>0</v>
      </c>
      <c r="I76" s="223">
        <f t="shared" si="56"/>
        <v>0</v>
      </c>
      <c r="J76" s="52">
        <f t="shared" si="56"/>
        <v>0</v>
      </c>
      <c r="K76" s="52">
        <f t="shared" si="56"/>
        <v>0</v>
      </c>
      <c r="L76" s="87">
        <f t="shared" si="56"/>
        <v>0</v>
      </c>
      <c r="O76" s="110"/>
    </row>
    <row r="77" spans="1:19" s="1" customFormat="1" hidden="1" outlineLevel="1">
      <c r="A77" s="311" t="s">
        <v>13</v>
      </c>
      <c r="B77" s="312" t="s">
        <v>14</v>
      </c>
      <c r="C77" s="313" t="s">
        <v>105</v>
      </c>
      <c r="D77" s="223">
        <f>D85*D88/1000</f>
        <v>0</v>
      </c>
      <c r="E77" s="223">
        <f t="shared" ref="E77:L77" si="57">E85*E88/1000</f>
        <v>0</v>
      </c>
      <c r="F77" s="223">
        <f t="shared" si="57"/>
        <v>0</v>
      </c>
      <c r="G77" s="223">
        <f t="shared" si="57"/>
        <v>0</v>
      </c>
      <c r="H77" s="223">
        <f t="shared" si="57"/>
        <v>0</v>
      </c>
      <c r="I77" s="223">
        <f t="shared" si="57"/>
        <v>0</v>
      </c>
      <c r="J77" s="52">
        <f t="shared" si="57"/>
        <v>0</v>
      </c>
      <c r="K77" s="52">
        <f t="shared" ref="K77" si="58">K85*K88/1000</f>
        <v>0</v>
      </c>
      <c r="L77" s="87">
        <f t="shared" si="57"/>
        <v>0</v>
      </c>
      <c r="O77" s="110"/>
    </row>
    <row r="78" spans="1:19" s="1" customFormat="1" hidden="1" outlineLevel="1">
      <c r="A78" s="37" t="s">
        <v>53</v>
      </c>
      <c r="B78" s="310" t="s">
        <v>54</v>
      </c>
      <c r="C78" s="129" t="s">
        <v>24</v>
      </c>
      <c r="D78" s="209"/>
      <c r="E78" s="223"/>
      <c r="F78" s="223"/>
      <c r="G78" s="223"/>
      <c r="H78" s="223"/>
      <c r="I78" s="223"/>
      <c r="J78" s="52"/>
      <c r="K78" s="52"/>
      <c r="L78" s="87"/>
      <c r="O78" s="110"/>
    </row>
    <row r="79" spans="1:19" s="1" customFormat="1" ht="37.5" hidden="1" outlineLevel="1">
      <c r="A79" s="37" t="s">
        <v>55</v>
      </c>
      <c r="B79" s="310" t="s">
        <v>56</v>
      </c>
      <c r="C79" s="221" t="s">
        <v>108</v>
      </c>
      <c r="D79" s="209" t="e">
        <f t="shared" ref="D79:L79" si="59">D88/D9*1.15</f>
        <v>#DIV/0!</v>
      </c>
      <c r="E79" s="209" t="e">
        <f t="shared" si="59"/>
        <v>#DIV/0!</v>
      </c>
      <c r="F79" s="209" t="e">
        <f t="shared" si="59"/>
        <v>#DIV/0!</v>
      </c>
      <c r="G79" s="209" t="e">
        <f t="shared" si="59"/>
        <v>#DIV/0!</v>
      </c>
      <c r="H79" s="209" t="e">
        <f t="shared" si="59"/>
        <v>#DIV/0!</v>
      </c>
      <c r="I79" s="209" t="e">
        <f t="shared" si="59"/>
        <v>#DIV/0!</v>
      </c>
      <c r="J79" s="53" t="e">
        <f t="shared" si="59"/>
        <v>#DIV/0!</v>
      </c>
      <c r="K79" s="53" t="e">
        <f t="shared" ref="K79" si="60">K88/K9*1.15</f>
        <v>#DIV/0!</v>
      </c>
      <c r="L79" s="94" t="e">
        <f t="shared" si="59"/>
        <v>#DIV/0!</v>
      </c>
      <c r="O79" s="110"/>
    </row>
    <row r="80" spans="1:19" s="1" customFormat="1" ht="37.5" hidden="1" outlineLevel="1">
      <c r="A80" s="37" t="s">
        <v>57</v>
      </c>
      <c r="B80" s="310" t="s">
        <v>58</v>
      </c>
      <c r="C80" s="221" t="s">
        <v>108</v>
      </c>
      <c r="D80" s="209" t="e">
        <f t="shared" ref="D80:L80" si="61">D88/D12*1.15</f>
        <v>#DIV/0!</v>
      </c>
      <c r="E80" s="209" t="e">
        <f t="shared" si="61"/>
        <v>#DIV/0!</v>
      </c>
      <c r="F80" s="209" t="e">
        <f t="shared" si="61"/>
        <v>#DIV/0!</v>
      </c>
      <c r="G80" s="209" t="e">
        <f t="shared" si="61"/>
        <v>#DIV/0!</v>
      </c>
      <c r="H80" s="209" t="e">
        <f t="shared" si="61"/>
        <v>#DIV/0!</v>
      </c>
      <c r="I80" s="209" t="e">
        <f t="shared" si="61"/>
        <v>#DIV/0!</v>
      </c>
      <c r="J80" s="53" t="e">
        <f t="shared" si="61"/>
        <v>#DIV/0!</v>
      </c>
      <c r="K80" s="53" t="e">
        <f t="shared" ref="K80" si="62">K88/K12*1.15</f>
        <v>#DIV/0!</v>
      </c>
      <c r="L80" s="94" t="e">
        <f t="shared" si="61"/>
        <v>#DIV/0!</v>
      </c>
      <c r="O80" s="110"/>
    </row>
    <row r="81" spans="1:15" s="1" customFormat="1" hidden="1" outlineLevel="1">
      <c r="A81" s="37" t="s">
        <v>59</v>
      </c>
      <c r="B81" s="310" t="s">
        <v>60</v>
      </c>
      <c r="C81" s="221" t="s">
        <v>97</v>
      </c>
      <c r="D81" s="209"/>
      <c r="E81" s="209"/>
      <c r="F81" s="209"/>
      <c r="G81" s="209"/>
      <c r="H81" s="209"/>
      <c r="I81" s="209"/>
      <c r="J81" s="53"/>
      <c r="K81" s="53"/>
      <c r="L81" s="94"/>
      <c r="O81" s="110"/>
    </row>
    <row r="82" spans="1:15" s="1" customFormat="1" hidden="1" outlineLevel="1">
      <c r="A82" s="37" t="s">
        <v>61</v>
      </c>
      <c r="B82" s="314" t="s">
        <v>62</v>
      </c>
      <c r="C82" s="129"/>
      <c r="D82" s="209"/>
      <c r="E82" s="209"/>
      <c r="F82" s="209"/>
      <c r="G82" s="209"/>
      <c r="H82" s="209"/>
      <c r="I82" s="209"/>
      <c r="J82" s="53"/>
      <c r="K82" s="53"/>
      <c r="L82" s="94"/>
      <c r="O82" s="110"/>
    </row>
    <row r="83" spans="1:15" s="1" customFormat="1" hidden="1" outlineLevel="1">
      <c r="A83" s="37" t="s">
        <v>63</v>
      </c>
      <c r="B83" s="310" t="s">
        <v>56</v>
      </c>
      <c r="C83" s="129" t="s">
        <v>98</v>
      </c>
      <c r="D83" s="209" t="e">
        <f t="shared" ref="D83:L83" si="63">D88/D9</f>
        <v>#DIV/0!</v>
      </c>
      <c r="E83" s="209" t="e">
        <f t="shared" si="63"/>
        <v>#DIV/0!</v>
      </c>
      <c r="F83" s="209" t="e">
        <f t="shared" si="63"/>
        <v>#DIV/0!</v>
      </c>
      <c r="G83" s="209" t="e">
        <f t="shared" si="63"/>
        <v>#DIV/0!</v>
      </c>
      <c r="H83" s="209" t="e">
        <f t="shared" si="63"/>
        <v>#DIV/0!</v>
      </c>
      <c r="I83" s="209" t="e">
        <f t="shared" si="63"/>
        <v>#DIV/0!</v>
      </c>
      <c r="J83" s="53" t="e">
        <f t="shared" si="63"/>
        <v>#DIV/0!</v>
      </c>
      <c r="K83" s="53" t="e">
        <f t="shared" ref="K83" si="64">K88/K9</f>
        <v>#DIV/0!</v>
      </c>
      <c r="L83" s="94" t="e">
        <f t="shared" si="63"/>
        <v>#DIV/0!</v>
      </c>
      <c r="O83" s="110"/>
    </row>
    <row r="84" spans="1:15" s="1" customFormat="1" hidden="1" outlineLevel="1">
      <c r="A84" s="37" t="s">
        <v>64</v>
      </c>
      <c r="B84" s="310" t="s">
        <v>65</v>
      </c>
      <c r="C84" s="129" t="s">
        <v>98</v>
      </c>
      <c r="D84" s="209"/>
      <c r="E84" s="209"/>
      <c r="F84" s="209"/>
      <c r="G84" s="209"/>
      <c r="H84" s="209"/>
      <c r="I84" s="209"/>
      <c r="J84" s="53"/>
      <c r="K84" s="53"/>
      <c r="L84" s="94"/>
      <c r="O84" s="110"/>
    </row>
    <row r="85" spans="1:15" s="1" customFormat="1" hidden="1" outlineLevel="1">
      <c r="A85" s="37" t="s">
        <v>66</v>
      </c>
      <c r="B85" s="310" t="s">
        <v>67</v>
      </c>
      <c r="C85" s="129" t="s">
        <v>99</v>
      </c>
      <c r="D85" s="209">
        <f>D86+D87</f>
        <v>0</v>
      </c>
      <c r="E85" s="209">
        <f t="shared" ref="E85:I85" si="65">E86+E87</f>
        <v>0</v>
      </c>
      <c r="F85" s="209">
        <f t="shared" si="65"/>
        <v>0</v>
      </c>
      <c r="G85" s="209">
        <f t="shared" si="65"/>
        <v>0</v>
      </c>
      <c r="H85" s="209">
        <f t="shared" si="65"/>
        <v>0</v>
      </c>
      <c r="I85" s="209">
        <f t="shared" si="65"/>
        <v>0</v>
      </c>
      <c r="J85" s="53">
        <f>J86+J87</f>
        <v>0</v>
      </c>
      <c r="K85" s="53">
        <f>K86+K87</f>
        <v>0</v>
      </c>
      <c r="L85" s="94">
        <f>L86+L87</f>
        <v>0</v>
      </c>
      <c r="O85" s="110"/>
    </row>
    <row r="86" spans="1:15" s="1" customFormat="1" hidden="1" outlineLevel="1">
      <c r="A86" s="37" t="s">
        <v>68</v>
      </c>
      <c r="B86" s="310" t="s">
        <v>69</v>
      </c>
      <c r="C86" s="129" t="s">
        <v>99</v>
      </c>
      <c r="D86" s="209"/>
      <c r="E86" s="209"/>
      <c r="F86" s="209"/>
      <c r="G86" s="209">
        <f>F86*1.034</f>
        <v>0</v>
      </c>
      <c r="H86" s="209">
        <f t="shared" ref="H86:K87" si="66">G86*1.034</f>
        <v>0</v>
      </c>
      <c r="I86" s="209">
        <f t="shared" si="66"/>
        <v>0</v>
      </c>
      <c r="J86" s="53">
        <f t="shared" si="66"/>
        <v>0</v>
      </c>
      <c r="K86" s="53">
        <f t="shared" si="66"/>
        <v>0</v>
      </c>
      <c r="L86" s="94">
        <f>J86*1.034</f>
        <v>0</v>
      </c>
      <c r="O86" s="110"/>
    </row>
    <row r="87" spans="1:15" s="1" customFormat="1" hidden="1" outlineLevel="1">
      <c r="A87" s="37" t="s">
        <v>70</v>
      </c>
      <c r="B87" s="310" t="s">
        <v>71</v>
      </c>
      <c r="C87" s="129" t="s">
        <v>99</v>
      </c>
      <c r="D87" s="209"/>
      <c r="E87" s="209"/>
      <c r="F87" s="209"/>
      <c r="G87" s="209">
        <f>F87*1.034</f>
        <v>0</v>
      </c>
      <c r="H87" s="209">
        <f t="shared" si="66"/>
        <v>0</v>
      </c>
      <c r="I87" s="209">
        <f t="shared" si="66"/>
        <v>0</v>
      </c>
      <c r="J87" s="53">
        <f t="shared" si="66"/>
        <v>0</v>
      </c>
      <c r="K87" s="53">
        <f t="shared" si="66"/>
        <v>0</v>
      </c>
      <c r="L87" s="94">
        <f>J87*1.034</f>
        <v>0</v>
      </c>
      <c r="O87" s="110"/>
    </row>
    <row r="88" spans="1:15" s="1" customFormat="1" hidden="1" outlineLevel="1">
      <c r="A88" s="37" t="s">
        <v>72</v>
      </c>
      <c r="B88" s="310" t="s">
        <v>73</v>
      </c>
      <c r="C88" s="129" t="s">
        <v>100</v>
      </c>
      <c r="D88" s="209"/>
      <c r="E88" s="209"/>
      <c r="F88" s="209"/>
      <c r="G88" s="209">
        <f t="shared" ref="G88:L88" si="67">G84*G12</f>
        <v>0</v>
      </c>
      <c r="H88" s="209">
        <f t="shared" si="67"/>
        <v>0</v>
      </c>
      <c r="I88" s="209">
        <f t="shared" si="67"/>
        <v>0</v>
      </c>
      <c r="J88" s="53">
        <f t="shared" si="67"/>
        <v>0</v>
      </c>
      <c r="K88" s="53">
        <f t="shared" si="67"/>
        <v>0</v>
      </c>
      <c r="L88" s="94">
        <f t="shared" si="67"/>
        <v>0</v>
      </c>
      <c r="O88" s="110"/>
    </row>
    <row r="89" spans="1:15" s="1" customFormat="1" hidden="1" outlineLevel="1">
      <c r="A89" s="311" t="s">
        <v>15</v>
      </c>
      <c r="B89" s="312" t="s">
        <v>32</v>
      </c>
      <c r="C89" s="313" t="s">
        <v>105</v>
      </c>
      <c r="D89" s="223"/>
      <c r="E89" s="223"/>
      <c r="F89" s="223"/>
      <c r="G89" s="223"/>
      <c r="H89" s="223"/>
      <c r="I89" s="223"/>
      <c r="J89" s="52"/>
      <c r="K89" s="52"/>
      <c r="L89" s="87"/>
      <c r="O89" s="110"/>
    </row>
    <row r="90" spans="1:15" s="1" customFormat="1" hidden="1" outlineLevel="1">
      <c r="A90" s="37" t="s">
        <v>53</v>
      </c>
      <c r="B90" s="310" t="s">
        <v>54</v>
      </c>
      <c r="C90" s="129" t="s">
        <v>24</v>
      </c>
      <c r="D90" s="223"/>
      <c r="E90" s="223"/>
      <c r="F90" s="223"/>
      <c r="G90" s="223"/>
      <c r="H90" s="223"/>
      <c r="I90" s="223"/>
      <c r="J90" s="52"/>
      <c r="K90" s="52"/>
      <c r="L90" s="87"/>
      <c r="O90" s="110"/>
    </row>
    <row r="91" spans="1:15" s="1" customFormat="1" hidden="1" outlineLevel="1">
      <c r="A91" s="37" t="s">
        <v>55</v>
      </c>
      <c r="B91" s="310" t="s">
        <v>56</v>
      </c>
      <c r="C91" s="129" t="s">
        <v>108</v>
      </c>
      <c r="D91" s="223"/>
      <c r="E91" s="223"/>
      <c r="F91" s="223"/>
      <c r="G91" s="223"/>
      <c r="H91" s="223"/>
      <c r="I91" s="223"/>
      <c r="J91" s="52"/>
      <c r="K91" s="52"/>
      <c r="L91" s="87"/>
      <c r="O91" s="110"/>
    </row>
    <row r="92" spans="1:15" s="1" customFormat="1" hidden="1" outlineLevel="1">
      <c r="A92" s="37" t="s">
        <v>57</v>
      </c>
      <c r="B92" s="310" t="s">
        <v>74</v>
      </c>
      <c r="C92" s="129" t="s">
        <v>108</v>
      </c>
      <c r="D92" s="223"/>
      <c r="E92" s="223"/>
      <c r="F92" s="223"/>
      <c r="G92" s="223"/>
      <c r="H92" s="223"/>
      <c r="I92" s="223"/>
      <c r="J92" s="52"/>
      <c r="K92" s="52"/>
      <c r="L92" s="87"/>
      <c r="O92" s="110"/>
    </row>
    <row r="93" spans="1:15" s="1" customFormat="1" hidden="1" outlineLevel="1">
      <c r="A93" s="37" t="s">
        <v>61</v>
      </c>
      <c r="B93" s="310" t="s">
        <v>62</v>
      </c>
      <c r="C93" s="129" t="s">
        <v>97</v>
      </c>
      <c r="D93" s="223"/>
      <c r="E93" s="223"/>
      <c r="F93" s="223"/>
      <c r="G93" s="223"/>
      <c r="H93" s="223"/>
      <c r="I93" s="223"/>
      <c r="J93" s="52"/>
      <c r="K93" s="52"/>
      <c r="L93" s="87"/>
      <c r="O93" s="110"/>
    </row>
    <row r="94" spans="1:15" s="1" customFormat="1" hidden="1" outlineLevel="1">
      <c r="A94" s="37" t="s">
        <v>63</v>
      </c>
      <c r="B94" s="310" t="s">
        <v>56</v>
      </c>
      <c r="C94" s="129" t="s">
        <v>98</v>
      </c>
      <c r="D94" s="223"/>
      <c r="E94" s="223"/>
      <c r="F94" s="223"/>
      <c r="G94" s="223"/>
      <c r="H94" s="223"/>
      <c r="I94" s="223"/>
      <c r="J94" s="52"/>
      <c r="K94" s="52"/>
      <c r="L94" s="87"/>
      <c r="O94" s="110"/>
    </row>
    <row r="95" spans="1:15" s="1" customFormat="1" hidden="1" outlineLevel="1">
      <c r="A95" s="37" t="s">
        <v>64</v>
      </c>
      <c r="B95" s="310" t="s">
        <v>65</v>
      </c>
      <c r="C95" s="129" t="s">
        <v>98</v>
      </c>
      <c r="D95" s="223"/>
      <c r="E95" s="223"/>
      <c r="F95" s="223"/>
      <c r="G95" s="223"/>
      <c r="H95" s="223"/>
      <c r="I95" s="223"/>
      <c r="J95" s="52"/>
      <c r="K95" s="52"/>
      <c r="L95" s="87"/>
      <c r="O95" s="110"/>
    </row>
    <row r="96" spans="1:15" s="1" customFormat="1" hidden="1" outlineLevel="1">
      <c r="A96" s="37" t="s">
        <v>66</v>
      </c>
      <c r="B96" s="310" t="s">
        <v>67</v>
      </c>
      <c r="C96" s="129" t="s">
        <v>98</v>
      </c>
      <c r="D96" s="223"/>
      <c r="E96" s="223"/>
      <c r="F96" s="223"/>
      <c r="G96" s="223"/>
      <c r="H96" s="223"/>
      <c r="I96" s="223"/>
      <c r="J96" s="52"/>
      <c r="K96" s="52"/>
      <c r="L96" s="87"/>
      <c r="O96" s="110"/>
    </row>
    <row r="97" spans="1:15" s="1" customFormat="1" hidden="1" outlineLevel="1">
      <c r="A97" s="37" t="s">
        <v>68</v>
      </c>
      <c r="B97" s="310" t="s">
        <v>69</v>
      </c>
      <c r="C97" s="129" t="s">
        <v>103</v>
      </c>
      <c r="D97" s="223"/>
      <c r="E97" s="223"/>
      <c r="F97" s="223"/>
      <c r="G97" s="223"/>
      <c r="H97" s="223"/>
      <c r="I97" s="223"/>
      <c r="J97" s="52"/>
      <c r="K97" s="52"/>
      <c r="L97" s="87"/>
      <c r="O97" s="110"/>
    </row>
    <row r="98" spans="1:15" s="1" customFormat="1" hidden="1" outlineLevel="1">
      <c r="A98" s="37" t="s">
        <v>70</v>
      </c>
      <c r="B98" s="310" t="s">
        <v>71</v>
      </c>
      <c r="C98" s="129" t="s">
        <v>103</v>
      </c>
      <c r="D98" s="223"/>
      <c r="E98" s="223"/>
      <c r="F98" s="223"/>
      <c r="G98" s="223"/>
      <c r="H98" s="223"/>
      <c r="I98" s="223"/>
      <c r="J98" s="52"/>
      <c r="K98" s="52"/>
      <c r="L98" s="87"/>
      <c r="O98" s="110"/>
    </row>
    <row r="99" spans="1:15" s="1" customFormat="1" hidden="1" outlineLevel="1">
      <c r="A99" s="37" t="s">
        <v>72</v>
      </c>
      <c r="B99" s="310" t="s">
        <v>73</v>
      </c>
      <c r="C99" s="129" t="s">
        <v>104</v>
      </c>
      <c r="D99" s="223"/>
      <c r="E99" s="223"/>
      <c r="F99" s="223"/>
      <c r="G99" s="223"/>
      <c r="H99" s="223"/>
      <c r="I99" s="223"/>
      <c r="J99" s="52"/>
      <c r="K99" s="52"/>
      <c r="L99" s="87"/>
      <c r="O99" s="110"/>
    </row>
    <row r="100" spans="1:15" s="1" customFormat="1" collapsed="1">
      <c r="A100" s="311" t="s">
        <v>16</v>
      </c>
      <c r="B100" s="312" t="s">
        <v>179</v>
      </c>
      <c r="C100" s="313" t="s">
        <v>105</v>
      </c>
      <c r="D100" s="210">
        <f>D101</f>
        <v>58548.935299999997</v>
      </c>
      <c r="E100" s="210">
        <f t="shared" ref="E100" si="68">E101</f>
        <v>65954.171345958675</v>
      </c>
      <c r="F100" s="210">
        <f>F101</f>
        <v>73145.324359109145</v>
      </c>
      <c r="G100" s="210">
        <f t="shared" ref="G100:L100" si="69">G101</f>
        <v>81457.089966106636</v>
      </c>
      <c r="H100" s="210">
        <f t="shared" si="69"/>
        <v>85773.19547754903</v>
      </c>
      <c r="I100" s="210">
        <f t="shared" si="69"/>
        <v>89535.528150442027</v>
      </c>
      <c r="J100" s="39">
        <f t="shared" si="69"/>
        <v>96096.691653306407</v>
      </c>
      <c r="K100" s="39">
        <f t="shared" si="69"/>
        <v>103416.17250350317</v>
      </c>
      <c r="L100" s="88">
        <f t="shared" si="69"/>
        <v>109599.78043967286</v>
      </c>
      <c r="O100" s="110"/>
    </row>
    <row r="101" spans="1:15" s="1" customFormat="1">
      <c r="A101" s="37" t="s">
        <v>75</v>
      </c>
      <c r="B101" s="310" t="s">
        <v>76</v>
      </c>
      <c r="C101" s="129" t="s">
        <v>105</v>
      </c>
      <c r="D101" s="199">
        <f>D105*D103</f>
        <v>58548.935299999997</v>
      </c>
      <c r="E101" s="199">
        <f t="shared" ref="E101" si="70">E105*E103</f>
        <v>65954.171345958675</v>
      </c>
      <c r="F101" s="199">
        <f>F103*F105</f>
        <v>73145.324359109145</v>
      </c>
      <c r="G101" s="199">
        <f t="shared" ref="G101:L101" si="71">G103*G105</f>
        <v>81457.089966106636</v>
      </c>
      <c r="H101" s="199">
        <f t="shared" si="71"/>
        <v>85773.19547754903</v>
      </c>
      <c r="I101" s="199">
        <f t="shared" si="71"/>
        <v>89535.528150442027</v>
      </c>
      <c r="J101" s="36">
        <f t="shared" si="71"/>
        <v>96096.691653306407</v>
      </c>
      <c r="K101" s="36">
        <f t="shared" ref="K101" si="72">K103*K105</f>
        <v>103416.17250350317</v>
      </c>
      <c r="L101" s="34">
        <f t="shared" si="71"/>
        <v>109599.78043967286</v>
      </c>
      <c r="O101" s="110"/>
    </row>
    <row r="102" spans="1:15" s="1" customFormat="1">
      <c r="A102" s="37" t="s">
        <v>77</v>
      </c>
      <c r="B102" s="310" t="s">
        <v>78</v>
      </c>
      <c r="C102" s="129" t="s">
        <v>101</v>
      </c>
      <c r="D102" s="199">
        <f>D105/D13</f>
        <v>4.2559835246161564</v>
      </c>
      <c r="E102" s="199">
        <f>E105/E13</f>
        <v>4.804398163720883</v>
      </c>
      <c r="F102" s="199">
        <v>4.8</v>
      </c>
      <c r="G102" s="199">
        <v>4.9648223652847943</v>
      </c>
      <c r="H102" s="199">
        <v>4.9648223652847943</v>
      </c>
      <c r="I102" s="199">
        <v>4.9648223652847943</v>
      </c>
      <c r="J102" s="36">
        <v>4.9648223652847943</v>
      </c>
      <c r="K102" s="36">
        <v>4.9648223652847943</v>
      </c>
      <c r="L102" s="34">
        <v>4.9648223652847943</v>
      </c>
      <c r="O102" s="110"/>
    </row>
    <row r="103" spans="1:15" s="1" customFormat="1">
      <c r="A103" s="37" t="s">
        <v>79</v>
      </c>
      <c r="B103" s="310" t="s">
        <v>80</v>
      </c>
      <c r="C103" s="129" t="s">
        <v>109</v>
      </c>
      <c r="D103" s="199">
        <v>5.1157777298762577</v>
      </c>
      <c r="E103" s="199">
        <v>5.3118674847926188</v>
      </c>
      <c r="F103" s="199">
        <v>5.8910340649980579</v>
      </c>
      <c r="G103" s="199">
        <v>6.179694734182962</v>
      </c>
      <c r="H103" s="199">
        <f>G103*(1+H20/100)</f>
        <v>6.4268825235502804</v>
      </c>
      <c r="I103" s="199">
        <f>H103*(1+I20/100)</f>
        <v>6.6839578244922917</v>
      </c>
      <c r="J103" s="36">
        <f>I103*(1+J20/100)</f>
        <v>6.9513161374719834</v>
      </c>
      <c r="K103" s="36">
        <f>J103*(1+K20/100)</f>
        <v>7.2293687829708633</v>
      </c>
      <c r="L103" s="34">
        <f>K103*(1+L20/100)</f>
        <v>7.518543534289698</v>
      </c>
      <c r="O103" s="110"/>
    </row>
    <row r="104" spans="1:15" s="142" customFormat="1" ht="13.5">
      <c r="A104" s="315"/>
      <c r="B104" s="316" t="s">
        <v>220</v>
      </c>
      <c r="C104" s="317" t="s">
        <v>24</v>
      </c>
      <c r="D104" s="211"/>
      <c r="E104" s="212">
        <f t="shared" ref="E104" si="73">E103/D103</f>
        <v>1.0383303898781984</v>
      </c>
      <c r="F104" s="212">
        <f>F103/E103</f>
        <v>1.1090325731700836</v>
      </c>
      <c r="G104" s="212">
        <f>G103/F103</f>
        <v>1.0489999999999999</v>
      </c>
      <c r="H104" s="212">
        <f t="shared" ref="H104" si="74">H103/G103</f>
        <v>1.04</v>
      </c>
      <c r="I104" s="212">
        <f t="shared" ref="I104" si="75">I103/H103</f>
        <v>1.04</v>
      </c>
      <c r="J104" s="138">
        <f t="shared" ref="J104" si="76">J103/I103</f>
        <v>1.04</v>
      </c>
      <c r="K104" s="138">
        <f t="shared" ref="K104" si="77">K103/J103</f>
        <v>1.04</v>
      </c>
      <c r="L104" s="273">
        <f t="shared" ref="L104" si="78">L103/K103</f>
        <v>1.04</v>
      </c>
      <c r="M104" s="139"/>
      <c r="N104" s="140"/>
      <c r="O104" s="141"/>
    </row>
    <row r="105" spans="1:15" s="1" customFormat="1">
      <c r="A105" s="37" t="s">
        <v>81</v>
      </c>
      <c r="B105" s="310" t="s">
        <v>82</v>
      </c>
      <c r="C105" s="129" t="s">
        <v>106</v>
      </c>
      <c r="D105" s="199">
        <v>11444.776999999998</v>
      </c>
      <c r="E105" s="199">
        <v>12416.381156867959</v>
      </c>
      <c r="F105" s="199">
        <v>12416.381156867959</v>
      </c>
      <c r="G105" s="199">
        <f t="shared" ref="G105:L105" si="79">G102*G13</f>
        <v>13181.41</v>
      </c>
      <c r="H105" s="199">
        <f t="shared" si="79"/>
        <v>13346.003317043203</v>
      </c>
      <c r="I105" s="199">
        <f t="shared" si="79"/>
        <v>13395.58544525123</v>
      </c>
      <c r="J105" s="36">
        <f>J102*J13</f>
        <v>13824.244179499268</v>
      </c>
      <c r="K105" s="36">
        <f>K102*K13</f>
        <v>14305.007201611445</v>
      </c>
      <c r="L105" s="34">
        <f t="shared" si="79"/>
        <v>14577.262197102795</v>
      </c>
      <c r="O105" s="110"/>
    </row>
    <row r="106" spans="1:15" s="1" customFormat="1">
      <c r="A106" s="37" t="s">
        <v>83</v>
      </c>
      <c r="B106" s="310" t="s">
        <v>84</v>
      </c>
      <c r="C106" s="129" t="s">
        <v>105</v>
      </c>
      <c r="D106" s="210"/>
      <c r="E106" s="210"/>
      <c r="F106" s="210"/>
      <c r="G106" s="210"/>
      <c r="H106" s="210"/>
      <c r="I106" s="210"/>
      <c r="J106" s="39"/>
      <c r="K106" s="39"/>
      <c r="L106" s="88"/>
      <c r="O106" s="110"/>
    </row>
    <row r="107" spans="1:15" s="1" customFormat="1">
      <c r="A107" s="311" t="s">
        <v>17</v>
      </c>
      <c r="B107" s="312" t="s">
        <v>180</v>
      </c>
      <c r="C107" s="313" t="s">
        <v>105</v>
      </c>
      <c r="D107" s="210">
        <f>D108</f>
        <v>23780.830449999998</v>
      </c>
      <c r="E107" s="210">
        <f t="shared" ref="E107" si="80">E108</f>
        <v>30850.534615927518</v>
      </c>
      <c r="F107" s="210">
        <f>F108</f>
        <v>35364.792339019034</v>
      </c>
      <c r="G107" s="210">
        <f t="shared" ref="G107:L107" si="81">G108</f>
        <v>43009.096359193412</v>
      </c>
      <c r="H107" s="210">
        <f t="shared" si="81"/>
        <v>45287.986974059619</v>
      </c>
      <c r="I107" s="210">
        <f t="shared" si="81"/>
        <v>47274.487210332794</v>
      </c>
      <c r="J107" s="39">
        <f t="shared" si="81"/>
        <v>50738.761633105976</v>
      </c>
      <c r="K107" s="39">
        <f t="shared" si="81"/>
        <v>54603.425314516273</v>
      </c>
      <c r="L107" s="88">
        <f t="shared" si="81"/>
        <v>57868.351543587989</v>
      </c>
      <c r="O107" s="110"/>
    </row>
    <row r="108" spans="1:15" s="1" customFormat="1">
      <c r="A108" s="37" t="s">
        <v>85</v>
      </c>
      <c r="B108" s="128" t="s">
        <v>86</v>
      </c>
      <c r="C108" s="129" t="s">
        <v>105</v>
      </c>
      <c r="D108" s="199">
        <f>D110*D112</f>
        <v>23780.830449999998</v>
      </c>
      <c r="E108" s="199">
        <f t="shared" ref="E108" si="82">E110*E112</f>
        <v>30850.534615927518</v>
      </c>
      <c r="F108" s="199">
        <f>F112*F110</f>
        <v>35364.792339019034</v>
      </c>
      <c r="G108" s="199">
        <f t="shared" ref="G108:J108" si="83">G112*G110</f>
        <v>43009.096359193412</v>
      </c>
      <c r="H108" s="199">
        <f t="shared" si="83"/>
        <v>45287.986974059619</v>
      </c>
      <c r="I108" s="199">
        <f t="shared" si="83"/>
        <v>47274.487210332794</v>
      </c>
      <c r="J108" s="36">
        <f t="shared" si="83"/>
        <v>50738.761633105976</v>
      </c>
      <c r="K108" s="36">
        <f t="shared" ref="K108" si="84">K112*K110</f>
        <v>54603.425314516273</v>
      </c>
      <c r="L108" s="34">
        <f t="shared" ref="L108" si="85">L112*L110</f>
        <v>57868.351543587989</v>
      </c>
      <c r="O108" s="110"/>
    </row>
    <row r="109" spans="1:15" s="1" customFormat="1">
      <c r="A109" s="37" t="s">
        <v>87</v>
      </c>
      <c r="B109" s="310" t="s">
        <v>88</v>
      </c>
      <c r="C109" s="129" t="s">
        <v>98</v>
      </c>
      <c r="D109" s="199">
        <f>D112/D13</f>
        <v>0.20062156420017788</v>
      </c>
      <c r="E109" s="199">
        <f>E112/E13</f>
        <v>0.26999989466300001</v>
      </c>
      <c r="F109" s="199">
        <v>0.27</v>
      </c>
      <c r="G109" s="199">
        <v>0.30470192773637866</v>
      </c>
      <c r="H109" s="199">
        <v>0.30470192773637866</v>
      </c>
      <c r="I109" s="199">
        <v>0.30470192773637866</v>
      </c>
      <c r="J109" s="36">
        <v>0.30470192773637866</v>
      </c>
      <c r="K109" s="36">
        <v>0.30470192773637866</v>
      </c>
      <c r="L109" s="34">
        <v>0.30470192773637866</v>
      </c>
      <c r="O109" s="110"/>
    </row>
    <row r="110" spans="1:15" s="1" customFormat="1">
      <c r="A110" s="37" t="s">
        <v>89</v>
      </c>
      <c r="B110" s="310" t="s">
        <v>90</v>
      </c>
      <c r="C110" s="129" t="s">
        <v>110</v>
      </c>
      <c r="D110" s="199">
        <v>44.080042799522523</v>
      </c>
      <c r="E110" s="199">
        <v>44.212294677323598</v>
      </c>
      <c r="F110" s="199">
        <v>50.6817350026677</v>
      </c>
      <c r="G110" s="199">
        <v>53.165140017798414</v>
      </c>
      <c r="H110" s="199">
        <f>G110*(1+H20/100)</f>
        <v>55.291745618510355</v>
      </c>
      <c r="I110" s="199">
        <f>H110*(1+I20/100)</f>
        <v>57.503415443250773</v>
      </c>
      <c r="J110" s="36">
        <f>I110*(1+J20/100)</f>
        <v>59.803552060980806</v>
      </c>
      <c r="K110" s="36">
        <f>J110*(1+K20/100)</f>
        <v>62.195694143420042</v>
      </c>
      <c r="L110" s="34">
        <f>K110*(1+L20/100)</f>
        <v>64.683521909156852</v>
      </c>
      <c r="O110" s="110"/>
    </row>
    <row r="111" spans="1:15" s="139" customFormat="1" ht="13.5">
      <c r="A111" s="315"/>
      <c r="B111" s="316" t="s">
        <v>220</v>
      </c>
      <c r="C111" s="317" t="s">
        <v>24</v>
      </c>
      <c r="D111" s="318"/>
      <c r="E111" s="212">
        <f t="shared" ref="E111:J111" si="86">E110/D110</f>
        <v>1.003000266546985</v>
      </c>
      <c r="F111" s="212">
        <f t="shared" si="86"/>
        <v>1.1463267259155012</v>
      </c>
      <c r="G111" s="212">
        <f t="shared" si="86"/>
        <v>1.0489999999999999</v>
      </c>
      <c r="H111" s="212">
        <f t="shared" si="86"/>
        <v>1.04</v>
      </c>
      <c r="I111" s="212">
        <f t="shared" si="86"/>
        <v>1.04</v>
      </c>
      <c r="J111" s="138">
        <f t="shared" si="86"/>
        <v>1.04</v>
      </c>
      <c r="K111" s="138">
        <f t="shared" ref="K111" si="87">K110/J110</f>
        <v>1.04</v>
      </c>
      <c r="L111" s="273">
        <f t="shared" ref="L111" si="88">L110/K110</f>
        <v>1.04</v>
      </c>
      <c r="N111" s="143"/>
      <c r="O111" s="144"/>
    </row>
    <row r="112" spans="1:15" s="1" customFormat="1">
      <c r="A112" s="37" t="s">
        <v>91</v>
      </c>
      <c r="B112" s="310" t="s">
        <v>92</v>
      </c>
      <c r="C112" s="129" t="s">
        <v>100</v>
      </c>
      <c r="D112" s="199">
        <v>539.49199999999985</v>
      </c>
      <c r="E112" s="199">
        <v>697.78180121808282</v>
      </c>
      <c r="F112" s="319">
        <v>697.78180121808305</v>
      </c>
      <c r="G112" s="319">
        <f t="shared" ref="G112:L112" si="89">G109*G13</f>
        <v>808.97174999999993</v>
      </c>
      <c r="H112" s="319">
        <f t="shared" si="89"/>
        <v>819.07319921724957</v>
      </c>
      <c r="I112" s="319">
        <f t="shared" si="89"/>
        <v>822.1161620736641</v>
      </c>
      <c r="J112" s="320">
        <f t="shared" si="89"/>
        <v>848.42387926002129</v>
      </c>
      <c r="K112" s="320">
        <f t="shared" ref="K112" si="90">K109*K13</f>
        <v>877.9293497167763</v>
      </c>
      <c r="L112" s="34">
        <f t="shared" si="89"/>
        <v>894.6382298858083</v>
      </c>
      <c r="O112" s="110"/>
    </row>
    <row r="113" spans="1:15" s="81" customFormat="1">
      <c r="A113" s="311" t="s">
        <v>18</v>
      </c>
      <c r="B113" s="312" t="s">
        <v>181</v>
      </c>
      <c r="C113" s="129" t="s">
        <v>105</v>
      </c>
      <c r="D113" s="210">
        <f>D114*D115</f>
        <v>1311009.827</v>
      </c>
      <c r="E113" s="210">
        <f t="shared" ref="E113" si="91">E114*E115</f>
        <v>1301929.2293496728</v>
      </c>
      <c r="F113" s="210">
        <v>1446432.9814738962</v>
      </c>
      <c r="G113" s="210">
        <v>1517600.72</v>
      </c>
      <c r="H113" s="210">
        <f>H114*H115</f>
        <v>1598012.6870182964</v>
      </c>
      <c r="I113" s="210">
        <f t="shared" ref="I113:L113" si="92">I114*I115</f>
        <v>1668107.49123531</v>
      </c>
      <c r="J113" s="210">
        <f t="shared" si="92"/>
        <v>1790346.4081930334</v>
      </c>
      <c r="K113" s="39">
        <f t="shared" si="92"/>
        <v>1926713.2905958632</v>
      </c>
      <c r="L113" s="88">
        <f t="shared" si="92"/>
        <v>2041918.0917989693</v>
      </c>
      <c r="M113" s="1"/>
      <c r="O113" s="120"/>
    </row>
    <row r="114" spans="1:15" s="1" customFormat="1">
      <c r="A114" s="37" t="s">
        <v>93</v>
      </c>
      <c r="B114" s="310" t="s">
        <v>94</v>
      </c>
      <c r="C114" s="129" t="s">
        <v>107</v>
      </c>
      <c r="D114" s="199">
        <v>487.52559355377741</v>
      </c>
      <c r="E114" s="199">
        <v>503.76887756238449</v>
      </c>
      <c r="F114" s="199">
        <f>F113/F115</f>
        <v>559.68320175920394</v>
      </c>
      <c r="G114" s="199">
        <f t="shared" ref="G114" si="93">G113/G115</f>
        <v>571.60941023974726</v>
      </c>
      <c r="H114" s="199">
        <f>G114*(1+H20/100)</f>
        <v>594.47378664933717</v>
      </c>
      <c r="I114" s="199">
        <f t="shared" ref="I114:K114" si="94">H114*(1+I20/100)</f>
        <v>618.25273811531065</v>
      </c>
      <c r="J114" s="199">
        <f t="shared" si="94"/>
        <v>642.98284763992308</v>
      </c>
      <c r="K114" s="36">
        <f t="shared" si="94"/>
        <v>668.70216154551997</v>
      </c>
      <c r="L114" s="34">
        <f>K114*(1+L20/100)</f>
        <v>695.45024800734075</v>
      </c>
      <c r="N114" s="146"/>
      <c r="O114" s="110"/>
    </row>
    <row r="115" spans="1:15" s="1" customFormat="1">
      <c r="A115" s="37" t="s">
        <v>95</v>
      </c>
      <c r="B115" s="310" t="s">
        <v>96</v>
      </c>
      <c r="C115" s="129" t="s">
        <v>102</v>
      </c>
      <c r="D115" s="199">
        <v>2689.1097500000001</v>
      </c>
      <c r="E115" s="199">
        <v>2584.3780498100496</v>
      </c>
      <c r="F115" s="199">
        <f t="shared" ref="F115:L115" si="95">F13</f>
        <v>2584.37804981005</v>
      </c>
      <c r="G115" s="199">
        <f t="shared" si="95"/>
        <v>2654.9610499999999</v>
      </c>
      <c r="H115" s="199">
        <f t="shared" si="95"/>
        <v>2688.1129545261474</v>
      </c>
      <c r="I115" s="199">
        <f t="shared" si="95"/>
        <v>2698.0996417749634</v>
      </c>
      <c r="J115" s="36">
        <f t="shared" si="95"/>
        <v>2784.4388303117621</v>
      </c>
      <c r="K115" s="36">
        <f t="shared" ref="K115" si="96">K13</f>
        <v>2881.272712118649</v>
      </c>
      <c r="L115" s="34">
        <f t="shared" si="95"/>
        <v>2936.109517035381</v>
      </c>
      <c r="O115" s="110"/>
    </row>
    <row r="116" spans="1:15" s="1" customFormat="1" hidden="1">
      <c r="A116" s="311" t="s">
        <v>183</v>
      </c>
      <c r="B116" s="312" t="s">
        <v>182</v>
      </c>
      <c r="C116" s="313" t="s">
        <v>105</v>
      </c>
      <c r="D116" s="223"/>
      <c r="E116" s="223"/>
      <c r="F116" s="223"/>
      <c r="G116" s="223"/>
      <c r="H116" s="223"/>
      <c r="I116" s="223"/>
      <c r="J116" s="52"/>
      <c r="K116" s="52"/>
      <c r="L116" s="87"/>
      <c r="O116" s="110"/>
    </row>
    <row r="117" spans="1:15" s="1" customFormat="1" hidden="1">
      <c r="A117" s="37" t="s">
        <v>184</v>
      </c>
      <c r="B117" s="310" t="s">
        <v>94</v>
      </c>
      <c r="C117" s="129" t="s">
        <v>110</v>
      </c>
      <c r="D117" s="223"/>
      <c r="E117" s="223"/>
      <c r="F117" s="223"/>
      <c r="G117" s="223"/>
      <c r="H117" s="223"/>
      <c r="I117" s="223"/>
      <c r="J117" s="52"/>
      <c r="K117" s="52"/>
      <c r="L117" s="87"/>
      <c r="O117" s="110"/>
    </row>
    <row r="118" spans="1:15" s="1" customFormat="1" hidden="1">
      <c r="A118" s="37" t="s">
        <v>185</v>
      </c>
      <c r="B118" s="310" t="s">
        <v>96</v>
      </c>
      <c r="C118" s="129" t="s">
        <v>100</v>
      </c>
      <c r="D118" s="223"/>
      <c r="E118" s="223"/>
      <c r="F118" s="223"/>
      <c r="G118" s="223"/>
      <c r="H118" s="223"/>
      <c r="I118" s="223"/>
      <c r="J118" s="52"/>
      <c r="K118" s="52"/>
      <c r="L118" s="87"/>
      <c r="O118" s="110"/>
    </row>
    <row r="119" spans="1:15" s="145" customFormat="1" ht="18.75">
      <c r="A119" s="321"/>
      <c r="B119" s="316" t="s">
        <v>220</v>
      </c>
      <c r="C119" s="322" t="s">
        <v>24</v>
      </c>
      <c r="D119" s="323"/>
      <c r="E119" s="324">
        <f t="shared" ref="E119:I119" si="97">E114/D114</f>
        <v>1.0333178077692353</v>
      </c>
      <c r="F119" s="324">
        <f>F114/E114</f>
        <v>1.1109920177430874</v>
      </c>
      <c r="G119" s="324">
        <f>G114/F114</f>
        <v>1.0213088555151497</v>
      </c>
      <c r="H119" s="324">
        <f>H114/G114</f>
        <v>1.04</v>
      </c>
      <c r="I119" s="324">
        <f t="shared" si="97"/>
        <v>1.04</v>
      </c>
      <c r="J119" s="325">
        <f>J114/I114</f>
        <v>1.04</v>
      </c>
      <c r="K119" s="325">
        <f t="shared" ref="K119:L119" si="98">K114/J114</f>
        <v>1.04</v>
      </c>
      <c r="L119" s="326">
        <f t="shared" si="98"/>
        <v>1.04</v>
      </c>
      <c r="M119" s="1"/>
      <c r="O119" s="144"/>
    </row>
    <row r="120" spans="1:15" s="3" customFormat="1">
      <c r="A120" s="13" t="s">
        <v>19</v>
      </c>
      <c r="B120" s="213" t="s">
        <v>20</v>
      </c>
      <c r="C120" s="214" t="s">
        <v>105</v>
      </c>
      <c r="D120" s="215">
        <f>D121+D122+D123+D124</f>
        <v>1268.7499547266</v>
      </c>
      <c r="E120" s="215">
        <f t="shared" ref="E120:L120" si="99">E121+E122+E123+E124</f>
        <v>833.03072557094072</v>
      </c>
      <c r="F120" s="215">
        <f t="shared" si="99"/>
        <v>1374.5622794000001</v>
      </c>
      <c r="G120" s="215">
        <f>G121+G122+G123+G124</f>
        <v>3450.92</v>
      </c>
      <c r="H120" s="215">
        <f>H121+H122+H123+H124</f>
        <v>5764.5272505707799</v>
      </c>
      <c r="I120" s="215">
        <f t="shared" si="99"/>
        <v>6538.2415097853955</v>
      </c>
      <c r="J120" s="51">
        <f t="shared" si="99"/>
        <v>7301.2153628937504</v>
      </c>
      <c r="K120" s="51">
        <f t="shared" ref="K120" si="100">K121+K122+K123+K124</f>
        <v>26504.281241458586</v>
      </c>
      <c r="L120" s="35">
        <f t="shared" si="99"/>
        <v>41783.503530782444</v>
      </c>
      <c r="M120" s="1"/>
      <c r="O120" s="119"/>
    </row>
    <row r="121" spans="1:15" s="105" customFormat="1" ht="43.5" customHeight="1" outlineLevel="1">
      <c r="A121" s="14" t="s">
        <v>21</v>
      </c>
      <c r="B121" s="207" t="s">
        <v>117</v>
      </c>
      <c r="C121" s="208" t="s">
        <v>105</v>
      </c>
      <c r="D121" s="199"/>
      <c r="E121" s="199"/>
      <c r="F121" s="199"/>
      <c r="G121" s="199"/>
      <c r="H121" s="199"/>
      <c r="I121" s="199"/>
      <c r="J121" s="36"/>
      <c r="K121" s="36"/>
      <c r="L121" s="272"/>
      <c r="O121" s="148"/>
    </row>
    <row r="122" spans="1:15" s="105" customFormat="1" ht="45" customHeight="1" outlineLevel="1">
      <c r="A122" s="14" t="s">
        <v>34</v>
      </c>
      <c r="B122" s="207" t="s">
        <v>118</v>
      </c>
      <c r="C122" s="208" t="s">
        <v>105</v>
      </c>
      <c r="D122" s="199"/>
      <c r="E122" s="199"/>
      <c r="F122" s="199">
        <f>'свод кредиты'!G12</f>
        <v>0</v>
      </c>
      <c r="G122" s="199">
        <f>'свод кредиты'!H12</f>
        <v>0</v>
      </c>
      <c r="H122" s="199">
        <f>'свод кредиты'!I12</f>
        <v>2175.5704505707795</v>
      </c>
      <c r="I122" s="199">
        <f>'свод кредиты'!J12</f>
        <v>2805.7264377853944</v>
      </c>
      <c r="J122" s="199">
        <f>'свод кредиты'!K12</f>
        <v>3419.3996880137497</v>
      </c>
      <c r="K122" s="36">
        <f>'свод кредиты'!L12</f>
        <v>22467.192939583387</v>
      </c>
      <c r="L122" s="34">
        <f>'свод кредиты'!M12</f>
        <v>37584.931696832231</v>
      </c>
      <c r="O122" s="148"/>
    </row>
    <row r="123" spans="1:15" s="105" customFormat="1" ht="45" customHeight="1" outlineLevel="1">
      <c r="A123" s="14" t="s">
        <v>35</v>
      </c>
      <c r="B123" s="207" t="s">
        <v>186</v>
      </c>
      <c r="C123" s="208" t="s">
        <v>105</v>
      </c>
      <c r="D123" s="199">
        <v>1268.7499547266</v>
      </c>
      <c r="E123" s="199">
        <v>833.03072557094072</v>
      </c>
      <c r="F123" s="209">
        <v>1374.5622794000001</v>
      </c>
      <c r="G123" s="199">
        <v>3450.92</v>
      </c>
      <c r="H123" s="199">
        <f t="shared" ref="H123:J123" si="101">G123*(1+H20/100)</f>
        <v>3588.9568000000004</v>
      </c>
      <c r="I123" s="199">
        <f t="shared" si="101"/>
        <v>3732.5150720000006</v>
      </c>
      <c r="J123" s="36">
        <f t="shared" si="101"/>
        <v>3881.8156748800006</v>
      </c>
      <c r="K123" s="36">
        <f t="shared" ref="K123" si="102">J123*(1+K20/100)</f>
        <v>4037.0883018752006</v>
      </c>
      <c r="L123" s="34">
        <f t="shared" ref="L123" si="103">K123*(1+L20/100)</f>
        <v>4198.5718339502091</v>
      </c>
      <c r="O123" s="148"/>
    </row>
    <row r="124" spans="1:15" ht="18.75" outlineLevel="1">
      <c r="A124" s="14" t="s">
        <v>119</v>
      </c>
      <c r="B124" s="207" t="s">
        <v>120</v>
      </c>
      <c r="C124" s="208" t="s">
        <v>105</v>
      </c>
      <c r="D124" s="209"/>
      <c r="E124" s="209"/>
      <c r="F124" s="209"/>
      <c r="G124" s="209"/>
      <c r="H124" s="209"/>
      <c r="I124" s="209"/>
      <c r="J124" s="53"/>
      <c r="K124" s="53"/>
      <c r="L124" s="54"/>
      <c r="O124" s="149"/>
    </row>
    <row r="125" spans="1:15" s="3" customFormat="1">
      <c r="A125" s="16" t="s">
        <v>25</v>
      </c>
      <c r="B125" s="204" t="s">
        <v>31</v>
      </c>
      <c r="C125" s="205" t="s">
        <v>105</v>
      </c>
      <c r="D125" s="206">
        <v>9431.87169675529</v>
      </c>
      <c r="E125" s="206">
        <v>21048.110147491101</v>
      </c>
      <c r="F125" s="206">
        <v>21862.68</v>
      </c>
      <c r="G125" s="206">
        <f>(G30+G60-G74+G100+G107)*5%</f>
        <v>22814.205354366808</v>
      </c>
      <c r="H125" s="206">
        <f t="shared" ref="H125:L125" si="104">(H30+H60-H74+H100+H107)*5%</f>
        <v>23724.065629687069</v>
      </c>
      <c r="I125" s="206">
        <f t="shared" si="104"/>
        <v>25762.289642127376</v>
      </c>
      <c r="J125" s="206">
        <f t="shared" si="104"/>
        <v>27354.970249762078</v>
      </c>
      <c r="K125" s="50">
        <f t="shared" si="104"/>
        <v>27887.222406211014</v>
      </c>
      <c r="L125" s="33">
        <f t="shared" si="104"/>
        <v>28795.706317915523</v>
      </c>
      <c r="O125" s="119"/>
    </row>
    <row r="126" spans="1:15" s="91" customFormat="1" ht="21.75" customHeight="1">
      <c r="A126" s="90" t="s">
        <v>27</v>
      </c>
      <c r="B126" s="198" t="s">
        <v>111</v>
      </c>
      <c r="C126" s="216" t="s">
        <v>105</v>
      </c>
      <c r="D126" s="209"/>
      <c r="E126" s="209"/>
      <c r="F126" s="209"/>
      <c r="G126" s="209"/>
      <c r="H126" s="209"/>
      <c r="I126" s="209"/>
      <c r="J126" s="53"/>
      <c r="K126" s="53"/>
      <c r="L126" s="54"/>
      <c r="O126" s="121"/>
    </row>
    <row r="127" spans="1:15" s="91" customFormat="1" ht="24" customHeight="1">
      <c r="A127" s="90" t="s">
        <v>28</v>
      </c>
      <c r="B127" s="198" t="s">
        <v>121</v>
      </c>
      <c r="C127" s="216" t="s">
        <v>105</v>
      </c>
      <c r="D127" s="209"/>
      <c r="E127" s="210">
        <v>2336.9064638969066</v>
      </c>
      <c r="F127" s="210">
        <v>17916.61</v>
      </c>
      <c r="G127" s="210">
        <v>-14900</v>
      </c>
      <c r="H127" s="210">
        <f>-G127+2871.28+1900</f>
        <v>19671.28</v>
      </c>
      <c r="I127" s="210">
        <f>M127-1900</f>
        <v>8894.15</v>
      </c>
      <c r="J127" s="39">
        <v>1200</v>
      </c>
      <c r="K127" s="39">
        <f>-J127</f>
        <v>-1200</v>
      </c>
      <c r="L127" s="88"/>
      <c r="M127" s="328">
        <f>10794.15</f>
        <v>10794.15</v>
      </c>
      <c r="O127" s="121"/>
    </row>
    <row r="128" spans="1:15" s="3" customFormat="1" ht="175.5" hidden="1" customHeight="1" outlineLevel="1">
      <c r="A128" s="12" t="s">
        <v>29</v>
      </c>
      <c r="B128" s="198" t="s">
        <v>122</v>
      </c>
      <c r="C128" s="217" t="s">
        <v>105</v>
      </c>
      <c r="D128" s="209"/>
      <c r="E128" s="209"/>
      <c r="F128" s="209"/>
      <c r="G128" s="209"/>
      <c r="H128" s="209"/>
      <c r="I128" s="209"/>
      <c r="J128" s="53"/>
      <c r="K128" s="53"/>
      <c r="L128" s="54"/>
      <c r="M128" s="329"/>
      <c r="O128" s="119"/>
    </row>
    <row r="129" spans="1:16" s="3" customFormat="1" ht="36.75" hidden="1" customHeight="1" outlineLevel="1">
      <c r="A129" s="12" t="s">
        <v>30</v>
      </c>
      <c r="B129" s="198" t="s">
        <v>123</v>
      </c>
      <c r="C129" s="217" t="s">
        <v>105</v>
      </c>
      <c r="D129" s="209"/>
      <c r="E129" s="209"/>
      <c r="F129" s="209"/>
      <c r="G129" s="209"/>
      <c r="H129" s="209"/>
      <c r="I129" s="209"/>
      <c r="J129" s="53"/>
      <c r="K129" s="53"/>
      <c r="L129" s="54"/>
      <c r="M129" s="329"/>
      <c r="O129" s="119"/>
    </row>
    <row r="130" spans="1:16" s="3" customFormat="1" ht="191.25" hidden="1" customHeight="1" outlineLevel="1">
      <c r="A130" s="12" t="s">
        <v>112</v>
      </c>
      <c r="B130" s="198" t="s">
        <v>124</v>
      </c>
      <c r="C130" s="217" t="s">
        <v>105</v>
      </c>
      <c r="D130" s="209"/>
      <c r="E130" s="199"/>
      <c r="F130" s="199"/>
      <c r="G130" s="199"/>
      <c r="H130" s="199"/>
      <c r="I130" s="199"/>
      <c r="J130" s="36"/>
      <c r="K130" s="36"/>
      <c r="L130" s="54"/>
      <c r="M130" s="329"/>
      <c r="O130" s="119"/>
    </row>
    <row r="131" spans="1:16" s="1" customFormat="1" collapsed="1">
      <c r="A131" s="16" t="s">
        <v>113</v>
      </c>
      <c r="B131" s="204" t="s">
        <v>23</v>
      </c>
      <c r="C131" s="205" t="s">
        <v>105</v>
      </c>
      <c r="D131" s="206">
        <f t="shared" ref="D131:G131" si="105">D125+D120+D75+D60+D30+D126+D127+D128+D129+D130</f>
        <v>1738411.2660099999</v>
      </c>
      <c r="E131" s="206">
        <f t="shared" si="105"/>
        <v>1711907.0122120799</v>
      </c>
      <c r="F131" s="218">
        <f t="shared" si="105"/>
        <v>1901556.1245226853</v>
      </c>
      <c r="G131" s="218">
        <f t="shared" si="105"/>
        <v>1986112.6824417028</v>
      </c>
      <c r="H131" s="218">
        <f>H125+H120+H75+H60+H30+H126+H127+H128+H129+H130</f>
        <v>2122551.1116922954</v>
      </c>
      <c r="I131" s="218">
        <f>I125+I120+I75+I60+I30+I126+I127+I128+I129+I130</f>
        <v>2225481.09399777</v>
      </c>
      <c r="J131" s="55">
        <f>J125+J120+J75+J60+J30+J126+J127+J128+J129+J130</f>
        <v>2374272.4527196507</v>
      </c>
      <c r="K131" s="55">
        <f t="shared" ref="K131" si="106">K125+K120+K75+K60+K30+K126+K127+K128+K129+K130</f>
        <v>2538658.514443222</v>
      </c>
      <c r="L131" s="49">
        <f>L125+L120+L75+L60+L30+L126+L127+L128+L129+L130</f>
        <v>2689461.0709644649</v>
      </c>
      <c r="M131" s="328">
        <f>2871.28</f>
        <v>2871.28</v>
      </c>
      <c r="O131" s="110"/>
    </row>
    <row r="132" spans="1:16" s="1" customFormat="1" ht="37.5">
      <c r="A132" s="16" t="s">
        <v>125</v>
      </c>
      <c r="B132" s="204" t="s">
        <v>22</v>
      </c>
      <c r="C132" s="219" t="s">
        <v>36</v>
      </c>
      <c r="D132" s="206">
        <f t="shared" ref="D132:J132" si="107">D131/(D18+D14)</f>
        <v>680.42593703830471</v>
      </c>
      <c r="E132" s="206">
        <f t="shared" si="107"/>
        <v>699.0352480116095</v>
      </c>
      <c r="F132" s="218">
        <f t="shared" si="107"/>
        <v>776.47602798009632</v>
      </c>
      <c r="G132" s="218">
        <f t="shared" si="107"/>
        <v>796.54560196324712</v>
      </c>
      <c r="H132" s="218">
        <f t="shared" si="107"/>
        <v>840.76680510456765</v>
      </c>
      <c r="I132" s="218">
        <f t="shared" si="107"/>
        <v>878.27564237313243</v>
      </c>
      <c r="J132" s="55">
        <f t="shared" si="107"/>
        <v>907.94132945444221</v>
      </c>
      <c r="K132" s="55">
        <f t="shared" ref="K132" si="108">K131/(K18+K14)</f>
        <v>938.17711160791248</v>
      </c>
      <c r="L132" s="49">
        <f>L131/(L18+L14)</f>
        <v>975.34424363050346</v>
      </c>
      <c r="M132" s="330">
        <f>SUM(G127:L130)</f>
        <v>13665.429999999998</v>
      </c>
      <c r="O132" s="110"/>
    </row>
    <row r="133" spans="1:16">
      <c r="A133" s="86"/>
      <c r="B133" s="220" t="s">
        <v>37</v>
      </c>
      <c r="C133" s="221" t="s">
        <v>24</v>
      </c>
      <c r="D133" s="210"/>
      <c r="E133" s="210"/>
      <c r="F133" s="222"/>
      <c r="G133" s="222"/>
      <c r="H133" s="222"/>
      <c r="I133" s="222"/>
      <c r="J133" s="100"/>
      <c r="K133" s="100"/>
      <c r="L133" s="101"/>
      <c r="M133" s="331" t="b">
        <f>M127+M131=M132</f>
        <v>1</v>
      </c>
      <c r="O133" s="110"/>
    </row>
    <row r="134" spans="1:16" ht="30" customHeight="1">
      <c r="A134" s="86" t="s">
        <v>126</v>
      </c>
      <c r="B134" s="220" t="s">
        <v>38</v>
      </c>
      <c r="C134" s="221" t="s">
        <v>36</v>
      </c>
      <c r="D134" s="210">
        <v>666.29</v>
      </c>
      <c r="E134" s="210">
        <v>688.94</v>
      </c>
      <c r="F134" s="223">
        <f>F142</f>
        <v>776.47544000000005</v>
      </c>
      <c r="G134" s="223">
        <f>G142</f>
        <v>776.47680656493765</v>
      </c>
      <c r="H134" s="223">
        <f t="shared" ref="G134:L135" si="109">H142</f>
        <v>823.04013695544688</v>
      </c>
      <c r="I134" s="223">
        <f t="shared" si="109"/>
        <v>864.16929739424211</v>
      </c>
      <c r="J134" s="52">
        <f t="shared" si="109"/>
        <v>896.89863609236352</v>
      </c>
      <c r="K134" s="52">
        <f>K142</f>
        <v>922.51973438024925</v>
      </c>
      <c r="L134" s="87">
        <f t="shared" si="109"/>
        <v>958.8477557901407</v>
      </c>
      <c r="O134" s="110"/>
    </row>
    <row r="135" spans="1:16" ht="30" customHeight="1">
      <c r="A135" s="86" t="s">
        <v>127</v>
      </c>
      <c r="B135" s="220" t="s">
        <v>39</v>
      </c>
      <c r="C135" s="221" t="s">
        <v>36</v>
      </c>
      <c r="D135" s="210">
        <v>688.94</v>
      </c>
      <c r="E135" s="210">
        <v>712.36362707910757</v>
      </c>
      <c r="F135" s="223">
        <f>F143</f>
        <v>776.47680656493765</v>
      </c>
      <c r="G135" s="223">
        <f t="shared" si="109"/>
        <v>823.04013695544688</v>
      </c>
      <c r="H135" s="223">
        <f t="shared" si="109"/>
        <v>864.16929739424211</v>
      </c>
      <c r="I135" s="223">
        <f t="shared" si="109"/>
        <v>896.89863609236352</v>
      </c>
      <c r="J135" s="52">
        <f t="shared" si="109"/>
        <v>922.51973438024925</v>
      </c>
      <c r="K135" s="52">
        <f t="shared" ref="K135" si="110">K143</f>
        <v>958.8477557901407</v>
      </c>
      <c r="L135" s="87">
        <f t="shared" si="109"/>
        <v>997.122669572885</v>
      </c>
      <c r="O135" s="110"/>
    </row>
    <row r="136" spans="1:16" s="63" customFormat="1" ht="27.75" customHeight="1" thickBot="1">
      <c r="A136" s="57"/>
      <c r="B136" s="58" t="s">
        <v>40</v>
      </c>
      <c r="C136" s="59" t="s">
        <v>24</v>
      </c>
      <c r="D136" s="60">
        <f>D135/D134</f>
        <v>1.0339942067268009</v>
      </c>
      <c r="E136" s="60">
        <f t="shared" ref="E136" si="111">E135/E134</f>
        <v>1.0339995167635898</v>
      </c>
      <c r="F136" s="60">
        <f>F135/F134</f>
        <v>1.0000017599589983</v>
      </c>
      <c r="G136" s="60">
        <f>G135/G134</f>
        <v>1.0599674452563512</v>
      </c>
      <c r="H136" s="60">
        <f t="shared" ref="H136:L136" si="112">H135/H134</f>
        <v>1.049972241440057</v>
      </c>
      <c r="I136" s="60">
        <f t="shared" si="112"/>
        <v>1.0378737578351964</v>
      </c>
      <c r="J136" s="61">
        <f t="shared" si="112"/>
        <v>1.0285663253982775</v>
      </c>
      <c r="K136" s="61">
        <f t="shared" ref="K136" si="113">K135/K134</f>
        <v>1.0393791265986267</v>
      </c>
      <c r="L136" s="62">
        <f t="shared" si="112"/>
        <v>1.0399176131472547</v>
      </c>
      <c r="O136" s="122"/>
    </row>
    <row r="137" spans="1:16" s="23" customFormat="1">
      <c r="A137" s="18"/>
      <c r="B137" s="19"/>
      <c r="C137" s="20"/>
      <c r="D137" s="18"/>
      <c r="E137" s="21"/>
      <c r="F137" s="80"/>
      <c r="G137" s="80"/>
      <c r="H137" s="80"/>
      <c r="I137" s="80"/>
      <c r="J137" s="80"/>
      <c r="K137" s="80"/>
      <c r="L137" s="22"/>
      <c r="O137" s="120"/>
      <c r="P137" s="63"/>
    </row>
    <row r="138" spans="1:16" s="24" customFormat="1" ht="20.25" outlineLevel="1" thickBot="1">
      <c r="B138" s="25"/>
      <c r="C138" s="26"/>
      <c r="E138" s="27" t="s">
        <v>205</v>
      </c>
      <c r="F138" s="28" t="s">
        <v>188</v>
      </c>
      <c r="G138" s="28" t="s">
        <v>189</v>
      </c>
      <c r="H138" s="28" t="s">
        <v>190</v>
      </c>
      <c r="I138" s="28" t="s">
        <v>191</v>
      </c>
      <c r="J138" s="28" t="s">
        <v>192</v>
      </c>
      <c r="K138" s="28" t="s">
        <v>280</v>
      </c>
      <c r="O138" s="120"/>
      <c r="P138" s="63"/>
    </row>
    <row r="139" spans="1:16" s="24" customFormat="1" outlineLevel="1">
      <c r="A139" s="64"/>
      <c r="B139" s="64" t="s">
        <v>193</v>
      </c>
      <c r="C139" s="64"/>
      <c r="D139" s="64"/>
      <c r="E139" s="64">
        <v>1393.4913797744009</v>
      </c>
      <c r="F139" s="64">
        <v>1395.2652115631531</v>
      </c>
      <c r="G139" s="64">
        <f t="shared" ref="G139:L139" si="114">G141*0.569</f>
        <v>1418.7487992199999</v>
      </c>
      <c r="H139" s="64">
        <f t="shared" si="114"/>
        <v>1436.4643979999998</v>
      </c>
      <c r="I139" s="64">
        <f t="shared" si="114"/>
        <v>1441.8010489999997</v>
      </c>
      <c r="J139" s="65">
        <f t="shared" si="114"/>
        <v>1487.9386825679999</v>
      </c>
      <c r="K139" s="65">
        <f t="shared" si="114"/>
        <v>1539.6844336167139</v>
      </c>
      <c r="L139" s="65">
        <f t="shared" si="114"/>
        <v>1568.9879336167139</v>
      </c>
      <c r="O139" s="120"/>
      <c r="P139" s="63"/>
    </row>
    <row r="140" spans="1:16" s="24" customFormat="1" outlineLevel="1">
      <c r="A140" s="66"/>
      <c r="B140" s="66" t="s">
        <v>194</v>
      </c>
      <c r="C140" s="66"/>
      <c r="D140" s="66"/>
      <c r="E140" s="66">
        <v>1055.4652602256022</v>
      </c>
      <c r="F140" s="66">
        <f>F141-F139</f>
        <v>1053.6914284368499</v>
      </c>
      <c r="G140" s="66">
        <f>G141-G139</f>
        <v>1074.6585807800002</v>
      </c>
      <c r="H140" s="66">
        <f>H141-H139</f>
        <v>1088.0776020000001</v>
      </c>
      <c r="I140" s="66">
        <f t="shared" ref="I140:L140" si="115">I141-I139</f>
        <v>1092.1199510000001</v>
      </c>
      <c r="J140" s="66">
        <f t="shared" si="115"/>
        <v>1127.0677894320002</v>
      </c>
      <c r="K140" s="66">
        <f t="shared" ref="K140" si="116">K141-K139</f>
        <v>1166.263604373996</v>
      </c>
      <c r="L140" s="89">
        <f t="shared" si="115"/>
        <v>1188.460104373996</v>
      </c>
      <c r="O140" s="120"/>
    </row>
    <row r="141" spans="1:16" s="69" customFormat="1" outlineLevel="1">
      <c r="A141" s="74"/>
      <c r="B141" s="74" t="s">
        <v>195</v>
      </c>
      <c r="C141" s="74"/>
      <c r="D141" s="74"/>
      <c r="E141" s="74">
        <f t="shared" ref="E141" si="117">SUM(E139:E140)</f>
        <v>2448.9566400000031</v>
      </c>
      <c r="F141" s="74">
        <v>2448.9566400000031</v>
      </c>
      <c r="G141" s="74">
        <f t="shared" ref="G141:L141" si="118">G18</f>
        <v>2493.4073800000001</v>
      </c>
      <c r="H141" s="74">
        <f t="shared" si="118"/>
        <v>2524.5419999999999</v>
      </c>
      <c r="I141" s="74">
        <f t="shared" si="118"/>
        <v>2533.9209999999998</v>
      </c>
      <c r="J141" s="75">
        <f t="shared" si="118"/>
        <v>2615.006472</v>
      </c>
      <c r="K141" s="75">
        <f t="shared" ref="K141" si="119">K18</f>
        <v>2705.94803799071</v>
      </c>
      <c r="L141" s="75">
        <f t="shared" si="118"/>
        <v>2757.44803799071</v>
      </c>
      <c r="O141" s="123"/>
    </row>
    <row r="142" spans="1:16" s="24" customFormat="1" outlineLevel="1">
      <c r="A142" s="67"/>
      <c r="B142" s="67" t="s">
        <v>196</v>
      </c>
      <c r="C142" s="67"/>
      <c r="D142" s="67"/>
      <c r="E142" s="67">
        <v>688.94</v>
      </c>
      <c r="F142" s="67">
        <v>776.47544000000005</v>
      </c>
      <c r="G142" s="67">
        <f>F143</f>
        <v>776.47680656493765</v>
      </c>
      <c r="H142" s="67">
        <f>G143</f>
        <v>823.04013695544688</v>
      </c>
      <c r="I142" s="67">
        <f>H143</f>
        <v>864.16929739424211</v>
      </c>
      <c r="J142" s="68">
        <f>I143</f>
        <v>896.89863609236352</v>
      </c>
      <c r="K142" s="68">
        <f t="shared" ref="K142:L142" si="120">J143</f>
        <v>922.51973438024925</v>
      </c>
      <c r="L142" s="68">
        <f t="shared" si="120"/>
        <v>958.8477557901407</v>
      </c>
      <c r="O142" s="124"/>
    </row>
    <row r="143" spans="1:16" s="24" customFormat="1" outlineLevel="1">
      <c r="A143" s="67"/>
      <c r="B143" s="67" t="s">
        <v>197</v>
      </c>
      <c r="C143" s="67"/>
      <c r="D143" s="67"/>
      <c r="E143" s="67">
        <v>712.36362707910757</v>
      </c>
      <c r="F143" s="67">
        <f>F146/F140</f>
        <v>776.47680656493765</v>
      </c>
      <c r="G143" s="67">
        <f>G146/G140</f>
        <v>823.04013695544688</v>
      </c>
      <c r="H143" s="67">
        <f t="shared" ref="H143" si="121">H146/H140</f>
        <v>864.16929739424211</v>
      </c>
      <c r="I143" s="67">
        <f>I146/I140</f>
        <v>896.89863609236352</v>
      </c>
      <c r="J143" s="68">
        <f>J146/J140</f>
        <v>922.51973438024925</v>
      </c>
      <c r="K143" s="68">
        <f t="shared" ref="K143" si="122">K146/K140</f>
        <v>958.8477557901407</v>
      </c>
      <c r="L143" s="68">
        <f>L146/L140</f>
        <v>997.122669572885</v>
      </c>
      <c r="O143" s="124"/>
    </row>
    <row r="144" spans="1:16" s="69" customFormat="1" outlineLevel="1">
      <c r="A144" s="74"/>
      <c r="B144" s="74" t="s">
        <v>198</v>
      </c>
      <c r="C144" s="74"/>
      <c r="D144" s="74"/>
      <c r="E144" s="74">
        <f t="shared" ref="E144:L144" si="123">E145+E146</f>
        <v>1711907.0122120799</v>
      </c>
      <c r="F144" s="74">
        <f t="shared" si="123"/>
        <v>1901556.1245226853</v>
      </c>
      <c r="G144" s="74">
        <f t="shared" si="123"/>
        <v>1986112.6824417028</v>
      </c>
      <c r="H144" s="74">
        <f t="shared" si="123"/>
        <v>2122551.1116922954</v>
      </c>
      <c r="I144" s="74">
        <f t="shared" si="123"/>
        <v>2225481.09399777</v>
      </c>
      <c r="J144" s="75">
        <f t="shared" si="123"/>
        <v>2374272.4527196507</v>
      </c>
      <c r="K144" s="75">
        <f t="shared" ref="K144" si="124">K145+K146</f>
        <v>2538658.514443222</v>
      </c>
      <c r="L144" s="75">
        <f t="shared" si="123"/>
        <v>2689461.0709644649</v>
      </c>
      <c r="O144" s="125"/>
    </row>
    <row r="145" spans="1:15" s="24" customFormat="1" outlineLevel="1">
      <c r="A145" s="67"/>
      <c r="B145" s="67" t="s">
        <v>199</v>
      </c>
      <c r="C145" s="67"/>
      <c r="D145" s="67"/>
      <c r="E145" s="67">
        <f>E142*E139</f>
        <v>960031.95118177589</v>
      </c>
      <c r="F145" s="67">
        <f>F142*F139</f>
        <v>1083389.1690651926</v>
      </c>
      <c r="G145" s="67">
        <f>G142*G139</f>
        <v>1101625.5369361853</v>
      </c>
      <c r="H145" s="67">
        <f>H142*H139</f>
        <v>1182267.8548615435</v>
      </c>
      <c r="I145" s="67">
        <f t="shared" ref="I145" si="125">I142*I139</f>
        <v>1245960.199496611</v>
      </c>
      <c r="J145" s="68">
        <f>J142*J139</f>
        <v>1334530.1749843073</v>
      </c>
      <c r="K145" s="68">
        <f t="shared" ref="K145:L145" si="126">K142*K139</f>
        <v>1420389.2747294954</v>
      </c>
      <c r="L145" s="68">
        <f t="shared" si="126"/>
        <v>1504420.5590101965</v>
      </c>
      <c r="O145" s="124"/>
    </row>
    <row r="146" spans="1:15" s="24" customFormat="1" outlineLevel="1">
      <c r="A146" s="67"/>
      <c r="B146" s="67" t="s">
        <v>200</v>
      </c>
      <c r="C146" s="67"/>
      <c r="D146" s="67"/>
      <c r="E146" s="67">
        <f t="shared" ref="E146:H146" si="127">E131-E145</f>
        <v>751875.06103030406</v>
      </c>
      <c r="F146" s="67">
        <f t="shared" si="127"/>
        <v>818166.95545749273</v>
      </c>
      <c r="G146" s="67">
        <f t="shared" si="127"/>
        <v>884487.14550551749</v>
      </c>
      <c r="H146" s="67">
        <f t="shared" si="127"/>
        <v>940283.2568307519</v>
      </c>
      <c r="I146" s="67">
        <f>I131-I145</f>
        <v>979520.89450115897</v>
      </c>
      <c r="J146" s="68">
        <f>J131-J145</f>
        <v>1039742.2777353434</v>
      </c>
      <c r="K146" s="68">
        <f t="shared" ref="K146:L146" si="128">K131-K145</f>
        <v>1118269.2397137266</v>
      </c>
      <c r="L146" s="68">
        <f t="shared" si="128"/>
        <v>1185040.5119542684</v>
      </c>
      <c r="O146" s="124"/>
    </row>
    <row r="147" spans="1:15" s="18" customFormat="1" ht="20.25" outlineLevel="1" thickBot="1">
      <c r="A147" s="76"/>
      <c r="B147" s="76" t="s">
        <v>201</v>
      </c>
      <c r="C147" s="76"/>
      <c r="D147" s="76"/>
      <c r="E147" s="76">
        <f>E143/E142</f>
        <v>1.0339995167635898</v>
      </c>
      <c r="F147" s="76">
        <f>F143/F142</f>
        <v>1.0000017599589983</v>
      </c>
      <c r="G147" s="76">
        <f>G143/G142</f>
        <v>1.0599674452563512</v>
      </c>
      <c r="H147" s="76">
        <f t="shared" ref="H147:L147" si="129">H143/H142</f>
        <v>1.049972241440057</v>
      </c>
      <c r="I147" s="76">
        <f t="shared" si="129"/>
        <v>1.0378737578351964</v>
      </c>
      <c r="J147" s="77">
        <f t="shared" si="129"/>
        <v>1.0285663253982775</v>
      </c>
      <c r="K147" s="77">
        <f t="shared" ref="K147" si="130">K143/K142</f>
        <v>1.0393791265986267</v>
      </c>
      <c r="L147" s="77">
        <f t="shared" si="129"/>
        <v>1.0399176131472547</v>
      </c>
      <c r="O147" s="124"/>
    </row>
    <row r="148" spans="1:15" s="24" customFormat="1" outlineLevel="1">
      <c r="B148" s="25"/>
      <c r="C148" s="26"/>
      <c r="F148" s="29"/>
      <c r="G148" s="29"/>
      <c r="H148" s="29"/>
      <c r="I148" s="29"/>
      <c r="J148" s="29"/>
      <c r="K148" s="29"/>
      <c r="O148" s="124"/>
    </row>
    <row r="149" spans="1:15" s="24" customFormat="1" ht="20.25" outlineLevel="1" thickBot="1">
      <c r="B149" s="25"/>
      <c r="C149" s="26"/>
      <c r="E149" s="27" t="s">
        <v>204</v>
      </c>
      <c r="F149" s="28" t="str">
        <f t="shared" ref="F149:K149" si="131">F6</f>
        <v xml:space="preserve">2023 год </v>
      </c>
      <c r="G149" s="28" t="str">
        <f t="shared" si="131"/>
        <v xml:space="preserve">2024 год </v>
      </c>
      <c r="H149" s="28" t="str">
        <f t="shared" si="131"/>
        <v xml:space="preserve">2025 год </v>
      </c>
      <c r="I149" s="28" t="str">
        <f t="shared" si="131"/>
        <v xml:space="preserve">2026 год </v>
      </c>
      <c r="J149" s="28" t="str">
        <f t="shared" si="131"/>
        <v xml:space="preserve">2027 год </v>
      </c>
      <c r="K149" s="28" t="str">
        <f t="shared" si="131"/>
        <v>2028 год</v>
      </c>
      <c r="O149" s="124"/>
    </row>
    <row r="150" spans="1:15" s="56" customFormat="1" outlineLevel="1">
      <c r="B150" s="70"/>
      <c r="C150" s="71"/>
      <c r="D150" s="15" t="s">
        <v>202</v>
      </c>
      <c r="E150" s="229">
        <f>SUM(F150:K150)</f>
        <v>650818.4318350642</v>
      </c>
      <c r="F150" s="380">
        <f>F155*0+76185.8333333333</f>
        <v>76185.833333333299</v>
      </c>
      <c r="G150" s="381">
        <f>G155</f>
        <v>88392.788</v>
      </c>
      <c r="H150" s="380">
        <f>H68</f>
        <v>94167.725555555546</v>
      </c>
      <c r="I150" s="381">
        <f t="shared" ref="I150:K150" si="132">I68</f>
        <v>123030.80555555555</v>
      </c>
      <c r="J150" s="380">
        <f t="shared" si="132"/>
        <v>138258.2210572864</v>
      </c>
      <c r="K150" s="381">
        <f t="shared" si="132"/>
        <v>130783.05833333335</v>
      </c>
      <c r="L150" s="24"/>
      <c r="O150" s="109"/>
    </row>
    <row r="151" spans="1:15" s="56" customFormat="1" outlineLevel="1">
      <c r="B151" s="70"/>
      <c r="C151" s="71"/>
      <c r="D151" s="15" t="s">
        <v>203</v>
      </c>
      <c r="E151" s="231">
        <f>SUM(F151:K151)</f>
        <v>0</v>
      </c>
      <c r="F151" s="230">
        <f>F121</f>
        <v>0</v>
      </c>
      <c r="G151" s="231">
        <f>G121</f>
        <v>0</v>
      </c>
      <c r="H151" s="230">
        <f t="shared" ref="H151:I151" si="133">H121</f>
        <v>0</v>
      </c>
      <c r="I151" s="231">
        <f t="shared" si="133"/>
        <v>0</v>
      </c>
      <c r="J151" s="230">
        <f>J121</f>
        <v>0</v>
      </c>
      <c r="K151" s="231">
        <f>K121</f>
        <v>0</v>
      </c>
      <c r="L151" s="24"/>
      <c r="O151" s="109"/>
    </row>
    <row r="152" spans="1:15" s="56" customFormat="1" outlineLevel="1">
      <c r="B152" s="70"/>
      <c r="C152" s="71"/>
      <c r="D152" s="15" t="s">
        <v>248</v>
      </c>
      <c r="E152" s="231">
        <f>SUM(F152:K152)</f>
        <v>1191540.6383333337</v>
      </c>
      <c r="F152" s="232">
        <f>F153-F150-F151</f>
        <v>4.3655745685100555E-11</v>
      </c>
      <c r="G152" s="233">
        <f t="shared" ref="G152:I152" si="134">G153-G150-G151</f>
        <v>0</v>
      </c>
      <c r="H152" s="232">
        <f>H153-H150-H151</f>
        <v>16090.607777777797</v>
      </c>
      <c r="I152" s="233">
        <f t="shared" si="134"/>
        <v>2900.0277777777956</v>
      </c>
      <c r="J152" s="232">
        <f>J153-J150-J151</f>
        <v>4221.4911111114488</v>
      </c>
      <c r="K152" s="233">
        <f>K153-K150-K151</f>
        <v>1168328.5116666665</v>
      </c>
      <c r="L152" s="24"/>
      <c r="O152" s="109"/>
    </row>
    <row r="153" spans="1:15" s="56" customFormat="1" ht="20.25" outlineLevel="1" thickBot="1">
      <c r="B153" s="70"/>
      <c r="C153" s="71"/>
      <c r="D153" s="15" t="s">
        <v>217</v>
      </c>
      <c r="E153" s="379">
        <f>SUM(F153:K153)</f>
        <v>1842359.0701683979</v>
      </c>
      <c r="F153" s="382">
        <v>76185.833333333343</v>
      </c>
      <c r="G153" s="379">
        <v>88392.788</v>
      </c>
      <c r="H153" s="382">
        <v>110258.33333333334</v>
      </c>
      <c r="I153" s="379">
        <v>125930.83333333334</v>
      </c>
      <c r="J153" s="382">
        <v>142479.71216839785</v>
      </c>
      <c r="K153" s="379">
        <v>1299111.5699999998</v>
      </c>
      <c r="L153" s="24"/>
      <c r="O153" s="109"/>
    </row>
    <row r="154" spans="1:15" s="56" customFormat="1" ht="20.25" outlineLevel="1" thickBot="1">
      <c r="B154" s="70"/>
      <c r="C154" s="71"/>
      <c r="E154" s="72"/>
      <c r="F154" s="73"/>
      <c r="G154" s="73"/>
      <c r="H154" s="73"/>
      <c r="I154" s="73"/>
      <c r="J154" s="73"/>
      <c r="K154" s="73"/>
      <c r="L154" s="24"/>
      <c r="O154" s="109"/>
    </row>
    <row r="155" spans="1:15" s="56" customFormat="1" ht="20.25" outlineLevel="1" thickBot="1">
      <c r="B155" s="70"/>
      <c r="C155" s="71"/>
      <c r="D155" s="15" t="s">
        <v>218</v>
      </c>
      <c r="E155" s="137">
        <f>SUM(F155:K155)</f>
        <v>650818.59850173083</v>
      </c>
      <c r="F155" s="137">
        <f>F68</f>
        <v>76186</v>
      </c>
      <c r="G155" s="137">
        <f t="shared" ref="G155:K155" si="135">G68</f>
        <v>88392.788</v>
      </c>
      <c r="H155" s="137">
        <f t="shared" si="135"/>
        <v>94167.725555555546</v>
      </c>
      <c r="I155" s="137">
        <f t="shared" si="135"/>
        <v>123030.80555555555</v>
      </c>
      <c r="J155" s="137">
        <f t="shared" si="135"/>
        <v>138258.2210572864</v>
      </c>
      <c r="K155" s="137">
        <f t="shared" si="135"/>
        <v>130783.05833333335</v>
      </c>
      <c r="L155" s="72"/>
      <c r="O155" s="109"/>
    </row>
    <row r="156" spans="1:15" s="56" customFormat="1" ht="20.25" outlineLevel="1" thickBot="1">
      <c r="B156" s="70"/>
      <c r="C156" s="71"/>
      <c r="E156" s="72"/>
      <c r="F156" s="73"/>
      <c r="G156" s="73"/>
      <c r="H156" s="73"/>
      <c r="I156" s="73"/>
      <c r="J156" s="73"/>
      <c r="K156" s="73"/>
      <c r="L156" s="72"/>
      <c r="O156" s="109"/>
    </row>
    <row r="157" spans="1:15" s="56" customFormat="1" ht="20.25" outlineLevel="1" thickBot="1">
      <c r="B157" s="70"/>
      <c r="C157" s="71"/>
      <c r="D157" s="15" t="s">
        <v>219</v>
      </c>
      <c r="E157" s="106">
        <f>E155-E150</f>
        <v>0.16666666662786156</v>
      </c>
      <c r="F157" s="106">
        <f t="shared" ref="F157:J157" si="136">F155-F150</f>
        <v>0.16666666670062114</v>
      </c>
      <c r="G157" s="106">
        <f>G155-G150</f>
        <v>0</v>
      </c>
      <c r="H157" s="106">
        <f>H155-H150</f>
        <v>0</v>
      </c>
      <c r="I157" s="106">
        <f t="shared" si="136"/>
        <v>0</v>
      </c>
      <c r="J157" s="107">
        <f t="shared" si="136"/>
        <v>0</v>
      </c>
      <c r="K157" s="107">
        <f t="shared" ref="K157" si="137">K155-K150</f>
        <v>0</v>
      </c>
      <c r="L157" s="72"/>
      <c r="O157" s="109"/>
    </row>
    <row r="158" spans="1:15">
      <c r="O158" s="109"/>
    </row>
    <row r="159" spans="1:15">
      <c r="O159" s="109"/>
    </row>
    <row r="160" spans="1:15">
      <c r="E160" s="104"/>
      <c r="O160" s="109"/>
    </row>
    <row r="161" spans="5:15">
      <c r="E161" s="102"/>
      <c r="O161" s="109"/>
    </row>
    <row r="162" spans="5:15">
      <c r="E162" s="103"/>
    </row>
    <row r="163" spans="5:15">
      <c r="E163" s="103"/>
    </row>
  </sheetData>
  <dataConsolidate/>
  <mergeCells count="11">
    <mergeCell ref="A8:L8"/>
    <mergeCell ref="A19:L19"/>
    <mergeCell ref="A29:L29"/>
    <mergeCell ref="A4:L4"/>
    <mergeCell ref="A5:A6"/>
    <mergeCell ref="B5:B6"/>
    <mergeCell ref="C5:C6"/>
    <mergeCell ref="D5:D6"/>
    <mergeCell ref="E5:E6"/>
    <mergeCell ref="L5:L6"/>
    <mergeCell ref="F5:K5"/>
  </mergeCells>
  <conditionalFormatting sqref="F152:K152">
    <cfRule type="cellIs" dxfId="2" priority="3" operator="greaterThan">
      <formula>0</formula>
    </cfRule>
  </conditionalFormatting>
  <conditionalFormatting sqref="E152:K152">
    <cfRule type="cellIs" dxfId="1" priority="2" operator="greaterThan">
      <formula>0</formula>
    </cfRule>
  </conditionalFormatting>
  <conditionalFormatting sqref="G1:L1">
    <cfRule type="cellIs" dxfId="0" priority="1" operator="greaterThan">
      <formula>0</formula>
    </cfRule>
  </conditionalFormatting>
  <pageMargins left="0" right="0" top="0.19685039370078741" bottom="0" header="0" footer="0"/>
  <pageSetup paperSize="8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opLeftCell="A2" zoomScale="90" zoomScaleNormal="90" workbookViewId="0">
      <pane xSplit="3" ySplit="7" topLeftCell="D44" activePane="bottomRight" state="frozen"/>
      <selection activeCell="A2" sqref="A2"/>
      <selection pane="topRight" activeCell="D2" sqref="D2"/>
      <selection pane="bottomLeft" activeCell="A9" sqref="A9"/>
      <selection pane="bottomRight" activeCell="B32" sqref="B32"/>
    </sheetView>
  </sheetViews>
  <sheetFormatPr defaultColWidth="9.140625" defaultRowHeight="10.5" outlineLevelRow="1"/>
  <cols>
    <col min="1" max="1" width="9.140625" style="155"/>
    <col min="2" max="2" width="34.5703125" style="155" customWidth="1"/>
    <col min="3" max="3" width="10.42578125" style="155" customWidth="1"/>
    <col min="4" max="4" width="17" style="155" customWidth="1"/>
    <col min="5" max="16" width="13.7109375" style="155" customWidth="1"/>
    <col min="17" max="16384" width="9.140625" style="155"/>
  </cols>
  <sheetData>
    <row r="1" spans="2:16" ht="25.5" hidden="1" customHeight="1">
      <c r="B1" s="150" t="s">
        <v>270</v>
      </c>
      <c r="C1" s="151" t="s">
        <v>223</v>
      </c>
      <c r="D1" s="152" t="e">
        <v>#DIV/0!</v>
      </c>
      <c r="E1" s="153"/>
      <c r="F1" s="153"/>
      <c r="G1" s="153"/>
      <c r="H1" s="153"/>
      <c r="I1" s="153"/>
      <c r="J1" s="153"/>
      <c r="K1" s="154"/>
      <c r="L1" s="154"/>
      <c r="M1" s="154"/>
      <c r="N1" s="154"/>
      <c r="O1" s="154"/>
      <c r="P1" s="154"/>
    </row>
    <row r="2" spans="2:16" ht="18">
      <c r="B2" s="156" t="s">
        <v>271</v>
      </c>
      <c r="C2" s="157"/>
      <c r="D2" s="158"/>
      <c r="E2" s="157"/>
      <c r="F2" s="157"/>
      <c r="G2" s="157"/>
      <c r="H2" s="151"/>
      <c r="I2" s="151"/>
      <c r="J2" s="151"/>
    </row>
    <row r="3" spans="2:16" ht="18">
      <c r="B3" s="156"/>
      <c r="C3" s="157"/>
      <c r="D3" s="158"/>
      <c r="E3" s="157"/>
      <c r="F3" s="157"/>
      <c r="G3" s="157"/>
      <c r="H3" s="151"/>
      <c r="I3" s="151"/>
      <c r="J3" s="151"/>
    </row>
    <row r="4" spans="2:16" s="165" customFormat="1" ht="18" customHeight="1">
      <c r="B4" s="159" t="s">
        <v>272</v>
      </c>
      <c r="C4" s="160" t="s">
        <v>273</v>
      </c>
      <c r="D4" s="161">
        <f>COUNTIF(B:B,"Период")</f>
        <v>6</v>
      </c>
      <c r="E4" s="162"/>
      <c r="F4" s="163"/>
      <c r="G4" s="163"/>
      <c r="H4" s="164"/>
      <c r="I4" s="164"/>
      <c r="J4" s="164"/>
    </row>
    <row r="5" spans="2:16" s="165" customFormat="1" ht="18" customHeight="1">
      <c r="B5" s="166" t="s">
        <v>245</v>
      </c>
      <c r="C5" s="160" t="s">
        <v>246</v>
      </c>
      <c r="D5" s="167">
        <f>SUMIFS(D:D,B:B,$B$26)</f>
        <v>23212364.166667044</v>
      </c>
      <c r="E5" s="168"/>
    </row>
    <row r="6" spans="2:16" s="165" customFormat="1" ht="18" customHeight="1">
      <c r="B6" s="166" t="s">
        <v>274</v>
      </c>
      <c r="C6" s="160" t="s">
        <v>246</v>
      </c>
      <c r="D6" s="167">
        <f>SUMIFS(D:D,B:B,$B$27)</f>
        <v>23212364.16666704</v>
      </c>
      <c r="E6" s="169"/>
    </row>
    <row r="7" spans="2:16" s="165" customFormat="1" ht="18" customHeight="1">
      <c r="B7" s="166" t="s">
        <v>275</v>
      </c>
      <c r="C7" s="160" t="s">
        <v>24</v>
      </c>
      <c r="D7" s="170">
        <v>0.15</v>
      </c>
      <c r="E7" s="275" t="s">
        <v>281</v>
      </c>
    </row>
    <row r="8" spans="2:16" s="165" customFormat="1" ht="18" customHeight="1">
      <c r="B8" s="166" t="s">
        <v>247</v>
      </c>
      <c r="C8" s="160"/>
      <c r="D8" s="167">
        <f>SUMIFS(D:D,B:B,"Размер погашения процентов ")</f>
        <v>15211776.582534416</v>
      </c>
    </row>
    <row r="9" spans="2:16" s="171" customFormat="1" ht="14.25">
      <c r="C9" s="172"/>
      <c r="D9" s="173"/>
      <c r="F9" s="174"/>
    </row>
    <row r="10" spans="2:16" s="171" customFormat="1" ht="12" customHeight="1">
      <c r="B10" s="175" t="s">
        <v>224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</row>
    <row r="11" spans="2:16" s="171" customFormat="1">
      <c r="B11" s="176"/>
      <c r="C11" s="177"/>
      <c r="D11" s="178">
        <v>2022</v>
      </c>
      <c r="E11" s="179" t="s">
        <v>226</v>
      </c>
      <c r="F11" s="179" t="s">
        <v>227</v>
      </c>
      <c r="G11" s="179" t="s">
        <v>228</v>
      </c>
      <c r="H11" s="179" t="s">
        <v>229</v>
      </c>
      <c r="I11" s="179" t="s">
        <v>230</v>
      </c>
      <c r="J11" s="179" t="s">
        <v>231</v>
      </c>
      <c r="K11" s="179" t="s">
        <v>232</v>
      </c>
      <c r="L11" s="179" t="s">
        <v>233</v>
      </c>
      <c r="M11" s="179" t="s">
        <v>234</v>
      </c>
      <c r="N11" s="179" t="s">
        <v>235</v>
      </c>
      <c r="O11" s="179" t="s">
        <v>236</v>
      </c>
      <c r="P11" s="179" t="s">
        <v>237</v>
      </c>
    </row>
    <row r="12" spans="2:16" s="171" customFormat="1" ht="10.5" hidden="1" customHeight="1" outlineLevel="1">
      <c r="B12" s="180" t="s">
        <v>238</v>
      </c>
      <c r="C12" s="181" t="s">
        <v>105</v>
      </c>
      <c r="D12" s="182">
        <f>SUM(E12:P12)</f>
        <v>0</v>
      </c>
      <c r="E12" s="183"/>
      <c r="F12" s="182"/>
      <c r="G12" s="183"/>
      <c r="H12" s="183">
        <v>0</v>
      </c>
      <c r="I12" s="183"/>
      <c r="J12" s="183">
        <v>0</v>
      </c>
      <c r="K12" s="183"/>
      <c r="L12" s="183">
        <v>0</v>
      </c>
      <c r="M12" s="183">
        <v>0</v>
      </c>
      <c r="N12" s="183">
        <v>0</v>
      </c>
      <c r="O12" s="183">
        <v>0</v>
      </c>
      <c r="P12" s="183"/>
    </row>
    <row r="13" spans="2:16" s="171" customFormat="1" ht="10.5" hidden="1" customHeight="1" outlineLevel="1">
      <c r="B13" s="180" t="s">
        <v>239</v>
      </c>
      <c r="C13" s="181" t="s">
        <v>105</v>
      </c>
      <c r="D13" s="183">
        <f>SUM(E13:P13)</f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  <c r="M13" s="183">
        <v>0</v>
      </c>
      <c r="N13" s="183">
        <v>0</v>
      </c>
      <c r="O13" s="183">
        <v>0</v>
      </c>
      <c r="P13" s="183">
        <v>0</v>
      </c>
    </row>
    <row r="14" spans="2:16" s="171" customFormat="1" ht="10.5" hidden="1" customHeight="1" outlineLevel="1">
      <c r="B14" s="180" t="s">
        <v>240</v>
      </c>
      <c r="C14" s="181" t="s">
        <v>105</v>
      </c>
      <c r="D14" s="184"/>
      <c r="E14" s="183">
        <f>E12-E13</f>
        <v>0</v>
      </c>
      <c r="F14" s="183">
        <f>IF(E14+F12-F13&lt;0,0,E14+F12-F13)</f>
        <v>0</v>
      </c>
      <c r="G14" s="183">
        <f t="shared" ref="G14:O14" si="0">IF(F14+G12-G13&lt;0,0,F14+G12-G13)</f>
        <v>0</v>
      </c>
      <c r="H14" s="183">
        <f t="shared" si="0"/>
        <v>0</v>
      </c>
      <c r="I14" s="183">
        <f t="shared" si="0"/>
        <v>0</v>
      </c>
      <c r="J14" s="183">
        <f t="shared" si="0"/>
        <v>0</v>
      </c>
      <c r="K14" s="183">
        <f t="shared" si="0"/>
        <v>0</v>
      </c>
      <c r="L14" s="183">
        <f t="shared" si="0"/>
        <v>0</v>
      </c>
      <c r="M14" s="183">
        <f t="shared" si="0"/>
        <v>0</v>
      </c>
      <c r="N14" s="183">
        <f t="shared" si="0"/>
        <v>0</v>
      </c>
      <c r="O14" s="183">
        <f t="shared" si="0"/>
        <v>0</v>
      </c>
      <c r="P14" s="183">
        <f>IF(O14+P12-P13&lt;0,0,O14+P12-P13)</f>
        <v>0</v>
      </c>
    </row>
    <row r="15" spans="2:16" s="171" customFormat="1" ht="10.5" hidden="1" customHeight="1" outlineLevel="1">
      <c r="B15" s="180" t="s">
        <v>241</v>
      </c>
      <c r="C15" s="185" t="s">
        <v>242</v>
      </c>
      <c r="D15" s="184">
        <f>SUM(E15:P15)</f>
        <v>365</v>
      </c>
      <c r="E15" s="183">
        <v>31</v>
      </c>
      <c r="F15" s="183">
        <v>28</v>
      </c>
      <c r="G15" s="183">
        <v>31</v>
      </c>
      <c r="H15" s="183">
        <v>30</v>
      </c>
      <c r="I15" s="183">
        <v>31</v>
      </c>
      <c r="J15" s="183">
        <v>30</v>
      </c>
      <c r="K15" s="183">
        <v>31</v>
      </c>
      <c r="L15" s="183">
        <v>31</v>
      </c>
      <c r="M15" s="183">
        <v>30</v>
      </c>
      <c r="N15" s="183">
        <v>31</v>
      </c>
      <c r="O15" s="183">
        <v>30</v>
      </c>
      <c r="P15" s="183">
        <v>31</v>
      </c>
    </row>
    <row r="16" spans="2:16" s="171" customFormat="1" ht="10.5" hidden="1" customHeight="1" outlineLevel="1">
      <c r="B16" s="180" t="s">
        <v>243</v>
      </c>
      <c r="C16" s="181" t="s">
        <v>105</v>
      </c>
      <c r="D16" s="186">
        <f>SUM(E16:P16)</f>
        <v>0</v>
      </c>
      <c r="E16" s="183">
        <f t="shared" ref="E16:P16" si="1">E14*E15/$D$15*$D$7</f>
        <v>0</v>
      </c>
      <c r="F16" s="183">
        <f t="shared" si="1"/>
        <v>0</v>
      </c>
      <c r="G16" s="183">
        <f t="shared" si="1"/>
        <v>0</v>
      </c>
      <c r="H16" s="183">
        <f t="shared" si="1"/>
        <v>0</v>
      </c>
      <c r="I16" s="183">
        <f t="shared" si="1"/>
        <v>0</v>
      </c>
      <c r="J16" s="183">
        <f t="shared" si="1"/>
        <v>0</v>
      </c>
      <c r="K16" s="183">
        <f t="shared" si="1"/>
        <v>0</v>
      </c>
      <c r="L16" s="183">
        <f t="shared" si="1"/>
        <v>0</v>
      </c>
      <c r="M16" s="183">
        <f t="shared" si="1"/>
        <v>0</v>
      </c>
      <c r="N16" s="183">
        <f t="shared" si="1"/>
        <v>0</v>
      </c>
      <c r="O16" s="183">
        <f t="shared" si="1"/>
        <v>0</v>
      </c>
      <c r="P16" s="183">
        <f t="shared" si="1"/>
        <v>0</v>
      </c>
    </row>
    <row r="17" spans="2:16" s="171" customFormat="1" ht="10.5" hidden="1" customHeight="1" outlineLevel="1">
      <c r="B17" s="180" t="s">
        <v>244</v>
      </c>
      <c r="C17" s="181" t="s">
        <v>105</v>
      </c>
      <c r="D17" s="187">
        <f>SUM(E17:P17)</f>
        <v>0</v>
      </c>
      <c r="E17" s="183">
        <f>E13+E16</f>
        <v>0</v>
      </c>
      <c r="F17" s="183">
        <f t="shared" ref="F17:P17" si="2">F13+F16</f>
        <v>0</v>
      </c>
      <c r="G17" s="183">
        <f t="shared" si="2"/>
        <v>0</v>
      </c>
      <c r="H17" s="183">
        <f t="shared" si="2"/>
        <v>0</v>
      </c>
      <c r="I17" s="183">
        <f t="shared" si="2"/>
        <v>0</v>
      </c>
      <c r="J17" s="183">
        <f t="shared" si="2"/>
        <v>0</v>
      </c>
      <c r="K17" s="183">
        <f t="shared" si="2"/>
        <v>0</v>
      </c>
      <c r="L17" s="183">
        <f>L13+L16</f>
        <v>0</v>
      </c>
      <c r="M17" s="183">
        <f t="shared" si="2"/>
        <v>0</v>
      </c>
      <c r="N17" s="183">
        <f t="shared" si="2"/>
        <v>0</v>
      </c>
      <c r="O17" s="183">
        <f t="shared" si="2"/>
        <v>0</v>
      </c>
      <c r="P17" s="183">
        <f t="shared" si="2"/>
        <v>0</v>
      </c>
    </row>
    <row r="18" spans="2:16" s="171" customFormat="1" collapsed="1">
      <c r="B18" s="176"/>
      <c r="C18" s="177"/>
      <c r="D18" s="178">
        <f>D11+1</f>
        <v>2023</v>
      </c>
      <c r="E18" s="179" t="s">
        <v>226</v>
      </c>
      <c r="F18" s="179" t="s">
        <v>227</v>
      </c>
      <c r="G18" s="179" t="s">
        <v>228</v>
      </c>
      <c r="H18" s="179" t="s">
        <v>229</v>
      </c>
      <c r="I18" s="179" t="s">
        <v>230</v>
      </c>
      <c r="J18" s="179" t="s">
        <v>231</v>
      </c>
      <c r="K18" s="179" t="s">
        <v>232</v>
      </c>
      <c r="L18" s="179" t="s">
        <v>233</v>
      </c>
      <c r="M18" s="179" t="s">
        <v>234</v>
      </c>
      <c r="N18" s="179" t="s">
        <v>235</v>
      </c>
      <c r="O18" s="179" t="s">
        <v>236</v>
      </c>
      <c r="P18" s="179" t="s">
        <v>237</v>
      </c>
    </row>
    <row r="19" spans="2:16" s="171" customFormat="1" ht="10.5" hidden="1" customHeight="1" outlineLevel="1">
      <c r="B19" s="180" t="s">
        <v>238</v>
      </c>
      <c r="C19" s="181" t="s">
        <v>105</v>
      </c>
      <c r="D19" s="182">
        <f>SUM(E19:P19)</f>
        <v>0</v>
      </c>
      <c r="E19" s="183"/>
      <c r="F19" s="182"/>
      <c r="G19" s="183">
        <v>0</v>
      </c>
      <c r="H19" s="183">
        <v>0</v>
      </c>
      <c r="I19" s="183"/>
      <c r="J19" s="183">
        <v>0</v>
      </c>
      <c r="K19" s="182">
        <v>0</v>
      </c>
      <c r="L19" s="183">
        <v>0</v>
      </c>
      <c r="M19" s="183">
        <v>0</v>
      </c>
      <c r="N19" s="183">
        <v>0</v>
      </c>
      <c r="O19" s="183">
        <v>0</v>
      </c>
      <c r="P19" s="183"/>
    </row>
    <row r="20" spans="2:16" s="171" customFormat="1" ht="10.5" hidden="1" customHeight="1" outlineLevel="1">
      <c r="B20" s="180" t="s">
        <v>239</v>
      </c>
      <c r="C20" s="181" t="s">
        <v>105</v>
      </c>
      <c r="D20" s="183">
        <f>SUM(E20:P20)</f>
        <v>0</v>
      </c>
      <c r="E20" s="183">
        <v>0</v>
      </c>
      <c r="F20" s="183">
        <f>($N$12/1.2)/6/12</f>
        <v>0</v>
      </c>
      <c r="G20" s="183">
        <v>0</v>
      </c>
      <c r="H20" s="183">
        <f t="shared" ref="H20:M20" si="3">($N$12/1.2)/6/12</f>
        <v>0</v>
      </c>
      <c r="I20" s="183">
        <f t="shared" si="3"/>
        <v>0</v>
      </c>
      <c r="J20" s="183">
        <f t="shared" si="3"/>
        <v>0</v>
      </c>
      <c r="K20" s="183">
        <f t="shared" si="3"/>
        <v>0</v>
      </c>
      <c r="L20" s="183">
        <f t="shared" si="3"/>
        <v>0</v>
      </c>
      <c r="M20" s="183">
        <f t="shared" si="3"/>
        <v>0</v>
      </c>
      <c r="N20" s="183"/>
      <c r="O20" s="183">
        <f>($N$20/1.2)/6/12</f>
        <v>0</v>
      </c>
      <c r="P20" s="183">
        <f>($N$20/1.2)/6/12</f>
        <v>0</v>
      </c>
    </row>
    <row r="21" spans="2:16" s="171" customFormat="1" ht="10.5" hidden="1" customHeight="1" outlineLevel="1">
      <c r="B21" s="180" t="s">
        <v>240</v>
      </c>
      <c r="C21" s="181" t="s">
        <v>105</v>
      </c>
      <c r="D21" s="184"/>
      <c r="E21" s="183">
        <f>IF(P14+E19-E20&lt;0,0,P14+E19-E20)</f>
        <v>0</v>
      </c>
      <c r="F21" s="183">
        <f>IF(E21+F19-F20&lt;0,0,E21+F19-F20)</f>
        <v>0</v>
      </c>
      <c r="G21" s="183">
        <f>IF(F21+G19-G20&lt;0,0,F21+G19-G20)</f>
        <v>0</v>
      </c>
      <c r="H21" s="183">
        <f t="shared" ref="H21:O21" si="4">IF(G21+H19-H20&lt;0,0,G21+H19-H20)</f>
        <v>0</v>
      </c>
      <c r="I21" s="183">
        <f t="shared" si="4"/>
        <v>0</v>
      </c>
      <c r="J21" s="183">
        <f t="shared" si="4"/>
        <v>0</v>
      </c>
      <c r="K21" s="183">
        <f>IF(J21+K19-K20&lt;0,0,J21+K19-K20)</f>
        <v>0</v>
      </c>
      <c r="L21" s="183">
        <f t="shared" si="4"/>
        <v>0</v>
      </c>
      <c r="M21" s="183">
        <f t="shared" si="4"/>
        <v>0</v>
      </c>
      <c r="N21" s="183">
        <f t="shared" si="4"/>
        <v>0</v>
      </c>
      <c r="O21" s="183">
        <f t="shared" si="4"/>
        <v>0</v>
      </c>
      <c r="P21" s="183">
        <f>IF(O21+P19-P20&lt;0,0,O21+P19-P20)</f>
        <v>0</v>
      </c>
    </row>
    <row r="22" spans="2:16" s="171" customFormat="1" ht="10.5" hidden="1" customHeight="1" outlineLevel="1">
      <c r="B22" s="180" t="s">
        <v>241</v>
      </c>
      <c r="C22" s="185" t="s">
        <v>242</v>
      </c>
      <c r="D22" s="184">
        <v>365</v>
      </c>
      <c r="E22" s="183">
        <v>31</v>
      </c>
      <c r="F22" s="183">
        <v>28</v>
      </c>
      <c r="G22" s="183">
        <v>31</v>
      </c>
      <c r="H22" s="183">
        <v>30</v>
      </c>
      <c r="I22" s="183">
        <v>31</v>
      </c>
      <c r="J22" s="183">
        <v>30</v>
      </c>
      <c r="K22" s="183">
        <v>31</v>
      </c>
      <c r="L22" s="183">
        <v>31</v>
      </c>
      <c r="M22" s="183">
        <v>30</v>
      </c>
      <c r="N22" s="183">
        <v>31</v>
      </c>
      <c r="O22" s="183">
        <v>30</v>
      </c>
      <c r="P22" s="183">
        <v>31</v>
      </c>
    </row>
    <row r="23" spans="2:16" s="171" customFormat="1" ht="10.5" hidden="1" customHeight="1" outlineLevel="1">
      <c r="B23" s="180" t="s">
        <v>243</v>
      </c>
      <c r="C23" s="181" t="s">
        <v>105</v>
      </c>
      <c r="D23" s="186">
        <f>SUM(E23:P23)</f>
        <v>0</v>
      </c>
      <c r="E23" s="183">
        <f t="shared" ref="E23:P23" si="5">E21*E22/$D$22*$D$7</f>
        <v>0</v>
      </c>
      <c r="F23" s="183">
        <f t="shared" si="5"/>
        <v>0</v>
      </c>
      <c r="G23" s="183">
        <f t="shared" si="5"/>
        <v>0</v>
      </c>
      <c r="H23" s="183">
        <f t="shared" si="5"/>
        <v>0</v>
      </c>
      <c r="I23" s="183">
        <f t="shared" si="5"/>
        <v>0</v>
      </c>
      <c r="J23" s="183">
        <f t="shared" si="5"/>
        <v>0</v>
      </c>
      <c r="K23" s="183">
        <f t="shared" si="5"/>
        <v>0</v>
      </c>
      <c r="L23" s="183">
        <f t="shared" si="5"/>
        <v>0</v>
      </c>
      <c r="M23" s="183">
        <f t="shared" si="5"/>
        <v>0</v>
      </c>
      <c r="N23" s="183">
        <f t="shared" si="5"/>
        <v>0</v>
      </c>
      <c r="O23" s="183">
        <f t="shared" si="5"/>
        <v>0</v>
      </c>
      <c r="P23" s="183">
        <f t="shared" si="5"/>
        <v>0</v>
      </c>
    </row>
    <row r="24" spans="2:16" s="171" customFormat="1" ht="10.5" hidden="1" customHeight="1" outlineLevel="1">
      <c r="B24" s="180" t="s">
        <v>244</v>
      </c>
      <c r="C24" s="181" t="s">
        <v>105</v>
      </c>
      <c r="D24" s="184">
        <f>SUM(E24:P24)</f>
        <v>0</v>
      </c>
      <c r="E24" s="183">
        <f>E20+E23</f>
        <v>0</v>
      </c>
      <c r="F24" s="183">
        <f t="shared" ref="F24:P24" si="6">F20+F23</f>
        <v>0</v>
      </c>
      <c r="G24" s="183">
        <f t="shared" si="6"/>
        <v>0</v>
      </c>
      <c r="H24" s="183">
        <f t="shared" si="6"/>
        <v>0</v>
      </c>
      <c r="I24" s="183">
        <f t="shared" si="6"/>
        <v>0</v>
      </c>
      <c r="J24" s="183">
        <f t="shared" si="6"/>
        <v>0</v>
      </c>
      <c r="K24" s="183">
        <f t="shared" si="6"/>
        <v>0</v>
      </c>
      <c r="L24" s="183">
        <f t="shared" si="6"/>
        <v>0</v>
      </c>
      <c r="M24" s="183">
        <f t="shared" si="6"/>
        <v>0</v>
      </c>
      <c r="N24" s="183">
        <f t="shared" si="6"/>
        <v>0</v>
      </c>
      <c r="O24" s="183">
        <f t="shared" si="6"/>
        <v>0</v>
      </c>
      <c r="P24" s="183">
        <f t="shared" si="6"/>
        <v>0</v>
      </c>
    </row>
    <row r="25" spans="2:16" s="171" customFormat="1" collapsed="1">
      <c r="B25" s="176"/>
      <c r="C25" s="177"/>
      <c r="D25" s="178">
        <f>D18+1</f>
        <v>2024</v>
      </c>
      <c r="E25" s="179" t="s">
        <v>226</v>
      </c>
      <c r="F25" s="179" t="s">
        <v>227</v>
      </c>
      <c r="G25" s="179" t="s">
        <v>228</v>
      </c>
      <c r="H25" s="179" t="s">
        <v>229</v>
      </c>
      <c r="I25" s="179" t="s">
        <v>230</v>
      </c>
      <c r="J25" s="179" t="s">
        <v>231</v>
      </c>
      <c r="K25" s="179" t="s">
        <v>232</v>
      </c>
      <c r="L25" s="179" t="s">
        <v>233</v>
      </c>
      <c r="M25" s="179" t="s">
        <v>234</v>
      </c>
      <c r="N25" s="179" t="s">
        <v>235</v>
      </c>
      <c r="O25" s="179" t="s">
        <v>236</v>
      </c>
      <c r="P25" s="179" t="s">
        <v>237</v>
      </c>
    </row>
    <row r="26" spans="2:16" s="171" customFormat="1" hidden="1" outlineLevel="1">
      <c r="B26" s="180" t="s">
        <v>238</v>
      </c>
      <c r="C26" s="181" t="s">
        <v>105</v>
      </c>
      <c r="D26" s="182">
        <f>SUM(E26:P26)</f>
        <v>0</v>
      </c>
      <c r="E26" s="183">
        <v>0</v>
      </c>
      <c r="F26" s="182"/>
      <c r="G26" s="183"/>
      <c r="H26" s="183">
        <v>0</v>
      </c>
      <c r="I26" s="183"/>
      <c r="J26" s="183">
        <v>0</v>
      </c>
      <c r="K26" s="183"/>
      <c r="L26" s="183">
        <v>0</v>
      </c>
      <c r="M26" s="183">
        <v>0</v>
      </c>
      <c r="N26" s="183">
        <v>0</v>
      </c>
      <c r="O26" s="183">
        <v>0</v>
      </c>
      <c r="P26" s="183"/>
    </row>
    <row r="27" spans="2:16" s="171" customFormat="1" hidden="1" outlineLevel="1">
      <c r="B27" s="180" t="s">
        <v>239</v>
      </c>
      <c r="C27" s="181" t="s">
        <v>105</v>
      </c>
      <c r="D27" s="183">
        <f>SUM(E27:P27)</f>
        <v>0</v>
      </c>
      <c r="E27" s="183">
        <f>($E$26/1.2)/6/12</f>
        <v>0</v>
      </c>
      <c r="F27" s="183">
        <f t="shared" ref="F27:P27" si="7">($E$26/1.2)/6/12</f>
        <v>0</v>
      </c>
      <c r="G27" s="183">
        <f t="shared" si="7"/>
        <v>0</v>
      </c>
      <c r="H27" s="183">
        <f t="shared" si="7"/>
        <v>0</v>
      </c>
      <c r="I27" s="183">
        <f t="shared" si="7"/>
        <v>0</v>
      </c>
      <c r="J27" s="183">
        <f t="shared" si="7"/>
        <v>0</v>
      </c>
      <c r="K27" s="183">
        <f t="shared" si="7"/>
        <v>0</v>
      </c>
      <c r="L27" s="183">
        <f t="shared" si="7"/>
        <v>0</v>
      </c>
      <c r="M27" s="183">
        <f t="shared" si="7"/>
        <v>0</v>
      </c>
      <c r="N27" s="183">
        <f t="shared" si="7"/>
        <v>0</v>
      </c>
      <c r="O27" s="183">
        <f t="shared" si="7"/>
        <v>0</v>
      </c>
      <c r="P27" s="183">
        <f t="shared" si="7"/>
        <v>0</v>
      </c>
    </row>
    <row r="28" spans="2:16" s="171" customFormat="1" hidden="1" outlineLevel="1">
      <c r="B28" s="180" t="s">
        <v>240</v>
      </c>
      <c r="C28" s="181" t="s">
        <v>105</v>
      </c>
      <c r="D28" s="184"/>
      <c r="E28" s="183">
        <f>IF(P21+E26-E27&lt;0,0,P21+E26-E27)</f>
        <v>0</v>
      </c>
      <c r="F28" s="183">
        <f>IF(E28+F26-F27&lt;0,0,E28+F26-F27)</f>
        <v>0</v>
      </c>
      <c r="G28" s="183">
        <f t="shared" ref="G28:O28" si="8">IF(F28+G26-G27&lt;0,0,F28+G26-G27)</f>
        <v>0</v>
      </c>
      <c r="H28" s="183">
        <f t="shared" si="8"/>
        <v>0</v>
      </c>
      <c r="I28" s="183">
        <f t="shared" si="8"/>
        <v>0</v>
      </c>
      <c r="J28" s="183">
        <f t="shared" si="8"/>
        <v>0</v>
      </c>
      <c r="K28" s="183">
        <f t="shared" si="8"/>
        <v>0</v>
      </c>
      <c r="L28" s="183">
        <f t="shared" si="8"/>
        <v>0</v>
      </c>
      <c r="M28" s="183">
        <f t="shared" si="8"/>
        <v>0</v>
      </c>
      <c r="N28" s="183">
        <f t="shared" si="8"/>
        <v>0</v>
      </c>
      <c r="O28" s="183">
        <f t="shared" si="8"/>
        <v>0</v>
      </c>
      <c r="P28" s="183">
        <f>IF(O28+P26-P27&lt;0,0,O28+P26-P27)</f>
        <v>0</v>
      </c>
    </row>
    <row r="29" spans="2:16" s="171" customFormat="1" hidden="1" outlineLevel="1">
      <c r="B29" s="180" t="s">
        <v>241</v>
      </c>
      <c r="C29" s="185" t="s">
        <v>242</v>
      </c>
      <c r="D29" s="184">
        <v>366</v>
      </c>
      <c r="E29" s="183">
        <v>31</v>
      </c>
      <c r="F29" s="183">
        <v>29</v>
      </c>
      <c r="G29" s="183">
        <v>31</v>
      </c>
      <c r="H29" s="183">
        <v>30</v>
      </c>
      <c r="I29" s="183">
        <v>31</v>
      </c>
      <c r="J29" s="183">
        <v>30</v>
      </c>
      <c r="K29" s="183">
        <v>31</v>
      </c>
      <c r="L29" s="183">
        <v>31</v>
      </c>
      <c r="M29" s="183">
        <v>30</v>
      </c>
      <c r="N29" s="183">
        <v>31</v>
      </c>
      <c r="O29" s="183">
        <v>30</v>
      </c>
      <c r="P29" s="183">
        <v>31</v>
      </c>
    </row>
    <row r="30" spans="2:16" s="171" customFormat="1" hidden="1" outlineLevel="1">
      <c r="B30" s="180" t="s">
        <v>243</v>
      </c>
      <c r="C30" s="181" t="s">
        <v>105</v>
      </c>
      <c r="D30" s="188">
        <f>SUM(E30:P30)</f>
        <v>0</v>
      </c>
      <c r="E30" s="183">
        <f t="shared" ref="E30:P30" si="9">E28*E29/$D$29*$D$7</f>
        <v>0</v>
      </c>
      <c r="F30" s="183">
        <f t="shared" si="9"/>
        <v>0</v>
      </c>
      <c r="G30" s="183">
        <f t="shared" si="9"/>
        <v>0</v>
      </c>
      <c r="H30" s="183">
        <f t="shared" si="9"/>
        <v>0</v>
      </c>
      <c r="I30" s="183">
        <f t="shared" si="9"/>
        <v>0</v>
      </c>
      <c r="J30" s="183">
        <f t="shared" si="9"/>
        <v>0</v>
      </c>
      <c r="K30" s="183">
        <f t="shared" si="9"/>
        <v>0</v>
      </c>
      <c r="L30" s="183">
        <f t="shared" si="9"/>
        <v>0</v>
      </c>
      <c r="M30" s="183">
        <f t="shared" si="9"/>
        <v>0</v>
      </c>
      <c r="N30" s="183">
        <f t="shared" si="9"/>
        <v>0</v>
      </c>
      <c r="O30" s="183">
        <f t="shared" si="9"/>
        <v>0</v>
      </c>
      <c r="P30" s="183">
        <f t="shared" si="9"/>
        <v>0</v>
      </c>
    </row>
    <row r="31" spans="2:16" s="171" customFormat="1" hidden="1" outlineLevel="1">
      <c r="B31" s="180" t="s">
        <v>244</v>
      </c>
      <c r="C31" s="181" t="s">
        <v>105</v>
      </c>
      <c r="D31" s="187">
        <f>SUM(E31:P31)</f>
        <v>0</v>
      </c>
      <c r="E31" s="183">
        <f>E27+E30</f>
        <v>0</v>
      </c>
      <c r="F31" s="183">
        <f t="shared" ref="F31:P31" si="10">F27+F30</f>
        <v>0</v>
      </c>
      <c r="G31" s="183">
        <f t="shared" si="10"/>
        <v>0</v>
      </c>
      <c r="H31" s="183">
        <f t="shared" si="10"/>
        <v>0</v>
      </c>
      <c r="I31" s="183">
        <f t="shared" si="10"/>
        <v>0</v>
      </c>
      <c r="J31" s="183">
        <f t="shared" si="10"/>
        <v>0</v>
      </c>
      <c r="K31" s="183">
        <f t="shared" si="10"/>
        <v>0</v>
      </c>
      <c r="L31" s="183">
        <f t="shared" si="10"/>
        <v>0</v>
      </c>
      <c r="M31" s="183">
        <f t="shared" si="10"/>
        <v>0</v>
      </c>
      <c r="N31" s="183">
        <f t="shared" si="10"/>
        <v>0</v>
      </c>
      <c r="O31" s="183">
        <f t="shared" si="10"/>
        <v>0</v>
      </c>
      <c r="P31" s="183">
        <f t="shared" si="10"/>
        <v>0</v>
      </c>
    </row>
    <row r="32" spans="2:16" s="171" customFormat="1" collapsed="1">
      <c r="B32" s="176" t="s">
        <v>225</v>
      </c>
      <c r="C32" s="177"/>
      <c r="D32" s="178">
        <f>D25+1</f>
        <v>2025</v>
      </c>
      <c r="E32" s="179" t="s">
        <v>226</v>
      </c>
      <c r="F32" s="179" t="s">
        <v>227</v>
      </c>
      <c r="G32" s="179" t="s">
        <v>228</v>
      </c>
      <c r="H32" s="179" t="s">
        <v>229</v>
      </c>
      <c r="I32" s="179" t="s">
        <v>230</v>
      </c>
      <c r="J32" s="179" t="s">
        <v>231</v>
      </c>
      <c r="K32" s="179" t="s">
        <v>232</v>
      </c>
      <c r="L32" s="179" t="s">
        <v>233</v>
      </c>
      <c r="M32" s="179" t="s">
        <v>234</v>
      </c>
      <c r="N32" s="179" t="s">
        <v>235</v>
      </c>
      <c r="O32" s="179" t="s">
        <v>236</v>
      </c>
      <c r="P32" s="179" t="s">
        <v>237</v>
      </c>
    </row>
    <row r="33" spans="1:16" s="171" customFormat="1" outlineLevel="1">
      <c r="A33" s="173">
        <f>D32</f>
        <v>2025</v>
      </c>
      <c r="B33" s="180" t="s">
        <v>238</v>
      </c>
      <c r="C33" s="181" t="s">
        <v>105</v>
      </c>
      <c r="D33" s="182">
        <f>SUM(E33:P33)</f>
        <v>16090845.2777778</v>
      </c>
      <c r="E33" s="196">
        <f>16090.8452777778*1000*60%</f>
        <v>9654507.1666666791</v>
      </c>
      <c r="F33" s="182"/>
      <c r="G33" s="183"/>
      <c r="H33" s="182">
        <f>16090.8452777778*1000-E33</f>
        <v>6436338.1111111213</v>
      </c>
      <c r="I33" s="183"/>
      <c r="J33" s="183">
        <v>0</v>
      </c>
      <c r="K33" s="183"/>
      <c r="L33" s="183">
        <v>0</v>
      </c>
      <c r="M33" s="183">
        <v>0</v>
      </c>
      <c r="N33" s="183">
        <v>0</v>
      </c>
      <c r="O33" s="183">
        <v>0</v>
      </c>
      <c r="P33" s="183"/>
    </row>
    <row r="34" spans="1:16" s="171" customFormat="1" outlineLevel="1">
      <c r="A34" s="173">
        <f>A33</f>
        <v>2025</v>
      </c>
      <c r="B34" s="180" t="s">
        <v>239</v>
      </c>
      <c r="C34" s="181" t="s">
        <v>105</v>
      </c>
      <c r="D34" s="183">
        <f>SUM(E34:P34)</f>
        <v>0</v>
      </c>
      <c r="E34" s="183">
        <f t="shared" ref="E34:P34" si="11">($K$19/1.2)/6/12</f>
        <v>0</v>
      </c>
      <c r="F34" s="183">
        <f t="shared" si="11"/>
        <v>0</v>
      </c>
      <c r="G34" s="182">
        <f t="shared" si="11"/>
        <v>0</v>
      </c>
      <c r="H34" s="183">
        <f t="shared" si="11"/>
        <v>0</v>
      </c>
      <c r="I34" s="183">
        <f t="shared" si="11"/>
        <v>0</v>
      </c>
      <c r="J34" s="183">
        <f t="shared" si="11"/>
        <v>0</v>
      </c>
      <c r="K34" s="183">
        <f t="shared" si="11"/>
        <v>0</v>
      </c>
      <c r="L34" s="183">
        <f t="shared" si="11"/>
        <v>0</v>
      </c>
      <c r="M34" s="183">
        <f t="shared" si="11"/>
        <v>0</v>
      </c>
      <c r="N34" s="183">
        <f t="shared" si="11"/>
        <v>0</v>
      </c>
      <c r="O34" s="183">
        <f t="shared" si="11"/>
        <v>0</v>
      </c>
      <c r="P34" s="183">
        <f t="shared" si="11"/>
        <v>0</v>
      </c>
    </row>
    <row r="35" spans="1:16" s="171" customFormat="1" outlineLevel="1">
      <c r="A35" s="173">
        <f>A34</f>
        <v>2025</v>
      </c>
      <c r="B35" s="180" t="s">
        <v>240</v>
      </c>
      <c r="C35" s="181" t="s">
        <v>105</v>
      </c>
      <c r="D35" s="184"/>
      <c r="E35" s="183">
        <f>IF(P28+E33-E34&lt;0,0,P28+E33-E34)</f>
        <v>9654507.1666666791</v>
      </c>
      <c r="F35" s="183">
        <f>IF(E35+F33-F34&lt;0,0,E35+F33-F34)</f>
        <v>9654507.1666666791</v>
      </c>
      <c r="G35" s="183">
        <f t="shared" ref="G35:O35" si="12">IF(F35+G33-G34&lt;0,0,F35+G33-G34)</f>
        <v>9654507.1666666791</v>
      </c>
      <c r="H35" s="183">
        <f t="shared" si="12"/>
        <v>16090845.2777778</v>
      </c>
      <c r="I35" s="183">
        <f t="shared" si="12"/>
        <v>16090845.2777778</v>
      </c>
      <c r="J35" s="183">
        <f t="shared" si="12"/>
        <v>16090845.2777778</v>
      </c>
      <c r="K35" s="183">
        <f t="shared" si="12"/>
        <v>16090845.2777778</v>
      </c>
      <c r="L35" s="183">
        <f t="shared" si="12"/>
        <v>16090845.2777778</v>
      </c>
      <c r="M35" s="183">
        <f t="shared" si="12"/>
        <v>16090845.2777778</v>
      </c>
      <c r="N35" s="183">
        <f t="shared" si="12"/>
        <v>16090845.2777778</v>
      </c>
      <c r="O35" s="183">
        <f t="shared" si="12"/>
        <v>16090845.2777778</v>
      </c>
      <c r="P35" s="183">
        <f>IF(O35+P33-P34&lt;0,0,O35+P33-P34)</f>
        <v>16090845.2777778</v>
      </c>
    </row>
    <row r="36" spans="1:16" s="171" customFormat="1" outlineLevel="1">
      <c r="A36" s="173">
        <f>A35</f>
        <v>2025</v>
      </c>
      <c r="B36" s="180" t="s">
        <v>241</v>
      </c>
      <c r="C36" s="185" t="s">
        <v>242</v>
      </c>
      <c r="D36" s="184">
        <v>365</v>
      </c>
      <c r="E36" s="183">
        <v>31</v>
      </c>
      <c r="F36" s="183">
        <v>28</v>
      </c>
      <c r="G36" s="183">
        <v>31</v>
      </c>
      <c r="H36" s="183">
        <v>30</v>
      </c>
      <c r="I36" s="183">
        <v>31</v>
      </c>
      <c r="J36" s="183">
        <v>30</v>
      </c>
      <c r="K36" s="183">
        <v>31</v>
      </c>
      <c r="L36" s="183">
        <v>31</v>
      </c>
      <c r="M36" s="183">
        <v>30</v>
      </c>
      <c r="N36" s="183">
        <v>31</v>
      </c>
      <c r="O36" s="183">
        <v>30</v>
      </c>
      <c r="P36" s="183">
        <v>31</v>
      </c>
    </row>
    <row r="37" spans="1:16" s="171" customFormat="1" outlineLevel="1">
      <c r="A37" s="173">
        <f>A36</f>
        <v>2025</v>
      </c>
      <c r="B37" s="180" t="s">
        <v>243</v>
      </c>
      <c r="C37" s="181" t="s">
        <v>105</v>
      </c>
      <c r="D37" s="188">
        <f>SUM(E37:P37)</f>
        <v>2175570.4505707794</v>
      </c>
      <c r="E37" s="187">
        <f t="shared" ref="E37:P37" si="13">E35*E36/$D$36*$D$7</f>
        <v>122995.77623287687</v>
      </c>
      <c r="F37" s="187">
        <f t="shared" si="13"/>
        <v>111092.95917808231</v>
      </c>
      <c r="G37" s="187">
        <f t="shared" si="13"/>
        <v>122995.77623287687</v>
      </c>
      <c r="H37" s="187">
        <f t="shared" si="13"/>
        <v>198380.28424657564</v>
      </c>
      <c r="I37" s="187">
        <f t="shared" si="13"/>
        <v>204992.96038812815</v>
      </c>
      <c r="J37" s="187">
        <f t="shared" si="13"/>
        <v>198380.28424657564</v>
      </c>
      <c r="K37" s="187">
        <f t="shared" si="13"/>
        <v>204992.96038812815</v>
      </c>
      <c r="L37" s="187">
        <f t="shared" si="13"/>
        <v>204992.96038812815</v>
      </c>
      <c r="M37" s="187">
        <f t="shared" si="13"/>
        <v>198380.28424657564</v>
      </c>
      <c r="N37" s="187">
        <f t="shared" si="13"/>
        <v>204992.96038812815</v>
      </c>
      <c r="O37" s="187">
        <f t="shared" si="13"/>
        <v>198380.28424657564</v>
      </c>
      <c r="P37" s="187">
        <f t="shared" si="13"/>
        <v>204992.96038812815</v>
      </c>
    </row>
    <row r="38" spans="1:16" s="171" customFormat="1" outlineLevel="1">
      <c r="A38" s="173">
        <f>A37</f>
        <v>2025</v>
      </c>
      <c r="B38" s="180" t="s">
        <v>244</v>
      </c>
      <c r="C38" s="181" t="s">
        <v>105</v>
      </c>
      <c r="D38" s="187">
        <f>SUM(E38:P38)</f>
        <v>2175570.4505707794</v>
      </c>
      <c r="E38" s="187">
        <f t="shared" ref="E38:P38" si="14">E34+E37</f>
        <v>122995.77623287687</v>
      </c>
      <c r="F38" s="187">
        <f t="shared" si="14"/>
        <v>111092.95917808231</v>
      </c>
      <c r="G38" s="187">
        <f t="shared" si="14"/>
        <v>122995.77623287687</v>
      </c>
      <c r="H38" s="187">
        <f t="shared" si="14"/>
        <v>198380.28424657564</v>
      </c>
      <c r="I38" s="187">
        <f t="shared" si="14"/>
        <v>204992.96038812815</v>
      </c>
      <c r="J38" s="187">
        <f t="shared" si="14"/>
        <v>198380.28424657564</v>
      </c>
      <c r="K38" s="187">
        <f t="shared" si="14"/>
        <v>204992.96038812815</v>
      </c>
      <c r="L38" s="187">
        <f t="shared" si="14"/>
        <v>204992.96038812815</v>
      </c>
      <c r="M38" s="187">
        <f t="shared" si="14"/>
        <v>198380.28424657564</v>
      </c>
      <c r="N38" s="187">
        <f t="shared" si="14"/>
        <v>204992.96038812815</v>
      </c>
      <c r="O38" s="187">
        <f t="shared" si="14"/>
        <v>198380.28424657564</v>
      </c>
      <c r="P38" s="187">
        <f t="shared" si="14"/>
        <v>204992.96038812815</v>
      </c>
    </row>
    <row r="39" spans="1:16" s="171" customFormat="1">
      <c r="B39" s="176" t="s">
        <v>225</v>
      </c>
      <c r="C39" s="177"/>
      <c r="D39" s="178">
        <f>D32+1</f>
        <v>2026</v>
      </c>
      <c r="E39" s="179" t="s">
        <v>226</v>
      </c>
      <c r="F39" s="179" t="s">
        <v>227</v>
      </c>
      <c r="G39" s="179" t="s">
        <v>228</v>
      </c>
      <c r="H39" s="179" t="s">
        <v>229</v>
      </c>
      <c r="I39" s="179" t="s">
        <v>230</v>
      </c>
      <c r="J39" s="179" t="s">
        <v>231</v>
      </c>
      <c r="K39" s="179" t="s">
        <v>232</v>
      </c>
      <c r="L39" s="179" t="s">
        <v>233</v>
      </c>
      <c r="M39" s="179" t="s">
        <v>234</v>
      </c>
      <c r="N39" s="179" t="s">
        <v>235</v>
      </c>
      <c r="O39" s="179" t="s">
        <v>236</v>
      </c>
      <c r="P39" s="179" t="s">
        <v>237</v>
      </c>
    </row>
    <row r="40" spans="1:16" s="171" customFormat="1" ht="13.5" customHeight="1" outlineLevel="1">
      <c r="A40" s="173">
        <f t="shared" ref="A40" si="15">D39</f>
        <v>2026</v>
      </c>
      <c r="B40" s="180" t="s">
        <v>238</v>
      </c>
      <c r="C40" s="181" t="s">
        <v>105</v>
      </c>
      <c r="D40" s="182">
        <f>SUM(E40:P40)</f>
        <v>2900027.7777777957</v>
      </c>
      <c r="E40" s="196">
        <f>'ИП 23-28'!I152*1000*60%</f>
        <v>1740016.6666666775</v>
      </c>
      <c r="F40" s="183">
        <v>0</v>
      </c>
      <c r="G40" s="183">
        <v>0</v>
      </c>
      <c r="H40" s="182">
        <f>'ИП 23-28'!I152*1000-'кредит 15%'!E40</f>
        <v>1160011.1111111182</v>
      </c>
      <c r="I40" s="183">
        <v>0</v>
      </c>
      <c r="J40" s="183">
        <v>0</v>
      </c>
      <c r="K40" s="183">
        <v>0</v>
      </c>
      <c r="L40" s="183">
        <v>0</v>
      </c>
      <c r="M40" s="183">
        <v>0</v>
      </c>
      <c r="N40" s="183">
        <v>0</v>
      </c>
      <c r="O40" s="183">
        <v>0</v>
      </c>
      <c r="P40" s="182"/>
    </row>
    <row r="41" spans="1:16" s="171" customFormat="1" ht="13.5" customHeight="1" outlineLevel="1">
      <c r="A41" s="173">
        <f t="shared" ref="A41:A45" si="16">A40</f>
        <v>2026</v>
      </c>
      <c r="B41" s="189" t="s">
        <v>239</v>
      </c>
      <c r="C41" s="190" t="s">
        <v>105</v>
      </c>
      <c r="D41" s="187">
        <f>SUM(E41:P41)</f>
        <v>0</v>
      </c>
      <c r="E41" s="187">
        <f t="shared" ref="E41:P41" si="17">($K$19/1.2)/6/12</f>
        <v>0</v>
      </c>
      <c r="F41" s="187">
        <f t="shared" si="17"/>
        <v>0</v>
      </c>
      <c r="G41" s="187">
        <f t="shared" si="17"/>
        <v>0</v>
      </c>
      <c r="H41" s="187">
        <f t="shared" si="17"/>
        <v>0</v>
      </c>
      <c r="I41" s="187">
        <f t="shared" si="17"/>
        <v>0</v>
      </c>
      <c r="J41" s="187">
        <f t="shared" si="17"/>
        <v>0</v>
      </c>
      <c r="K41" s="187">
        <f t="shared" si="17"/>
        <v>0</v>
      </c>
      <c r="L41" s="187">
        <f t="shared" si="17"/>
        <v>0</v>
      </c>
      <c r="M41" s="187">
        <f t="shared" si="17"/>
        <v>0</v>
      </c>
      <c r="N41" s="187">
        <f t="shared" si="17"/>
        <v>0</v>
      </c>
      <c r="O41" s="187">
        <f t="shared" si="17"/>
        <v>0</v>
      </c>
      <c r="P41" s="187">
        <f t="shared" si="17"/>
        <v>0</v>
      </c>
    </row>
    <row r="42" spans="1:16" s="171" customFormat="1" ht="13.5" customHeight="1" outlineLevel="1">
      <c r="A42" s="173">
        <f t="shared" si="16"/>
        <v>2026</v>
      </c>
      <c r="B42" s="180" t="s">
        <v>240</v>
      </c>
      <c r="C42" s="181" t="s">
        <v>105</v>
      </c>
      <c r="D42" s="184"/>
      <c r="E42" s="183">
        <f>IF(P35+E40-E41&lt;0,0,P35+E40-E41)</f>
        <v>17830861.944444478</v>
      </c>
      <c r="F42" s="183">
        <f>IF(E42+F40-F41&lt;0,0,E42+F40-F41)</f>
        <v>17830861.944444478</v>
      </c>
      <c r="G42" s="183">
        <f t="shared" ref="G42:O42" si="18">IF(F42+G40-G41&lt;0,0,F42+G40-G41)</f>
        <v>17830861.944444478</v>
      </c>
      <c r="H42" s="183">
        <f t="shared" si="18"/>
        <v>18990873.055555597</v>
      </c>
      <c r="I42" s="183">
        <f t="shared" si="18"/>
        <v>18990873.055555597</v>
      </c>
      <c r="J42" s="183">
        <f t="shared" si="18"/>
        <v>18990873.055555597</v>
      </c>
      <c r="K42" s="183">
        <f t="shared" si="18"/>
        <v>18990873.055555597</v>
      </c>
      <c r="L42" s="183">
        <f t="shared" si="18"/>
        <v>18990873.055555597</v>
      </c>
      <c r="M42" s="183">
        <f t="shared" si="18"/>
        <v>18990873.055555597</v>
      </c>
      <c r="N42" s="183">
        <f t="shared" si="18"/>
        <v>18990873.055555597</v>
      </c>
      <c r="O42" s="183">
        <f t="shared" si="18"/>
        <v>18990873.055555597</v>
      </c>
      <c r="P42" s="183">
        <f>IF(O42+P40-P41&lt;0,0,O42+P40-P41)</f>
        <v>18990873.055555597</v>
      </c>
    </row>
    <row r="43" spans="1:16" s="171" customFormat="1" ht="13.5" customHeight="1" outlineLevel="1">
      <c r="A43" s="173">
        <f t="shared" si="16"/>
        <v>2026</v>
      </c>
      <c r="B43" s="180" t="s">
        <v>241</v>
      </c>
      <c r="C43" s="185" t="s">
        <v>242</v>
      </c>
      <c r="D43" s="184">
        <v>365</v>
      </c>
      <c r="E43" s="183">
        <v>31</v>
      </c>
      <c r="F43" s="183">
        <v>28</v>
      </c>
      <c r="G43" s="183">
        <v>31</v>
      </c>
      <c r="H43" s="183">
        <v>30</v>
      </c>
      <c r="I43" s="183">
        <v>31</v>
      </c>
      <c r="J43" s="183">
        <v>30</v>
      </c>
      <c r="K43" s="183">
        <v>31</v>
      </c>
      <c r="L43" s="183">
        <v>31</v>
      </c>
      <c r="M43" s="183">
        <v>30</v>
      </c>
      <c r="N43" s="183">
        <v>31</v>
      </c>
      <c r="O43" s="183">
        <v>30</v>
      </c>
      <c r="P43" s="183">
        <v>31</v>
      </c>
    </row>
    <row r="44" spans="1:16" s="171" customFormat="1" ht="13.5" customHeight="1" outlineLevel="1">
      <c r="A44" s="173">
        <f t="shared" si="16"/>
        <v>2026</v>
      </c>
      <c r="B44" s="180" t="s">
        <v>243</v>
      </c>
      <c r="C44" s="181" t="s">
        <v>105</v>
      </c>
      <c r="D44" s="188">
        <f>SUM(E44:P44)</f>
        <v>2805726.4377853945</v>
      </c>
      <c r="E44" s="187">
        <f t="shared" ref="E44:P44" si="19">E42*E43/$D$43*$D$7</f>
        <v>227160.29600456663</v>
      </c>
      <c r="F44" s="187">
        <f t="shared" si="19"/>
        <v>205177.04155251177</v>
      </c>
      <c r="G44" s="187">
        <f t="shared" si="19"/>
        <v>227160.29600456663</v>
      </c>
      <c r="H44" s="187">
        <f t="shared" si="19"/>
        <v>234134.05136986353</v>
      </c>
      <c r="I44" s="187">
        <f t="shared" si="19"/>
        <v>241938.51974885899</v>
      </c>
      <c r="J44" s="187">
        <f t="shared" si="19"/>
        <v>234134.05136986353</v>
      </c>
      <c r="K44" s="187">
        <f t="shared" si="19"/>
        <v>241938.51974885899</v>
      </c>
      <c r="L44" s="187">
        <f t="shared" si="19"/>
        <v>241938.51974885899</v>
      </c>
      <c r="M44" s="187">
        <f t="shared" si="19"/>
        <v>234134.05136986353</v>
      </c>
      <c r="N44" s="187">
        <f t="shared" si="19"/>
        <v>241938.51974885899</v>
      </c>
      <c r="O44" s="187">
        <f t="shared" si="19"/>
        <v>234134.05136986353</v>
      </c>
      <c r="P44" s="187">
        <f t="shared" si="19"/>
        <v>241938.51974885899</v>
      </c>
    </row>
    <row r="45" spans="1:16" s="171" customFormat="1" ht="13.5" customHeight="1" outlineLevel="1">
      <c r="A45" s="173">
        <f t="shared" si="16"/>
        <v>2026</v>
      </c>
      <c r="B45" s="180" t="s">
        <v>244</v>
      </c>
      <c r="C45" s="181" t="s">
        <v>105</v>
      </c>
      <c r="D45" s="187">
        <f>SUM(E45:P45)</f>
        <v>2805726.4377853945</v>
      </c>
      <c r="E45" s="187">
        <f>E41+E44</f>
        <v>227160.29600456663</v>
      </c>
      <c r="F45" s="187">
        <f t="shared" ref="F45:P45" si="20">F41+F44</f>
        <v>205177.04155251177</v>
      </c>
      <c r="G45" s="187">
        <f t="shared" si="20"/>
        <v>227160.29600456663</v>
      </c>
      <c r="H45" s="187">
        <f t="shared" si="20"/>
        <v>234134.05136986353</v>
      </c>
      <c r="I45" s="187">
        <f t="shared" si="20"/>
        <v>241938.51974885899</v>
      </c>
      <c r="J45" s="187">
        <f t="shared" si="20"/>
        <v>234134.05136986353</v>
      </c>
      <c r="K45" s="187">
        <f t="shared" si="20"/>
        <v>241938.51974885899</v>
      </c>
      <c r="L45" s="187">
        <f t="shared" si="20"/>
        <v>241938.51974885899</v>
      </c>
      <c r="M45" s="187">
        <f t="shared" si="20"/>
        <v>234134.05136986353</v>
      </c>
      <c r="N45" s="187">
        <f t="shared" si="20"/>
        <v>241938.51974885899</v>
      </c>
      <c r="O45" s="187">
        <f t="shared" si="20"/>
        <v>234134.05136986353</v>
      </c>
      <c r="P45" s="187">
        <f t="shared" si="20"/>
        <v>241938.51974885899</v>
      </c>
    </row>
    <row r="46" spans="1:16" s="171" customFormat="1">
      <c r="B46" s="176" t="s">
        <v>225</v>
      </c>
      <c r="C46" s="177"/>
      <c r="D46" s="178">
        <f>D39+1</f>
        <v>2027</v>
      </c>
      <c r="E46" s="179" t="s">
        <v>226</v>
      </c>
      <c r="F46" s="179" t="s">
        <v>227</v>
      </c>
      <c r="G46" s="179" t="s">
        <v>228</v>
      </c>
      <c r="H46" s="179" t="s">
        <v>229</v>
      </c>
      <c r="I46" s="179" t="s">
        <v>230</v>
      </c>
      <c r="J46" s="179" t="s">
        <v>231</v>
      </c>
      <c r="K46" s="179" t="s">
        <v>232</v>
      </c>
      <c r="L46" s="179" t="s">
        <v>233</v>
      </c>
      <c r="M46" s="179" t="s">
        <v>234</v>
      </c>
      <c r="N46" s="179" t="s">
        <v>235</v>
      </c>
      <c r="O46" s="179" t="s">
        <v>236</v>
      </c>
      <c r="P46" s="179" t="s">
        <v>237</v>
      </c>
    </row>
    <row r="47" spans="1:16" s="171" customFormat="1" ht="13.5" customHeight="1" outlineLevel="1">
      <c r="A47" s="173">
        <f t="shared" ref="A47" si="21">D46</f>
        <v>2027</v>
      </c>
      <c r="B47" s="180" t="str">
        <f>B40</f>
        <v>Размер транша выборки</v>
      </c>
      <c r="C47" s="181" t="s">
        <v>105</v>
      </c>
      <c r="D47" s="182">
        <f>SUM(E47:P47)</f>
        <v>4221491.1111114491</v>
      </c>
      <c r="E47" s="196">
        <f>'ИП 23-28'!J152*1000*60%</f>
        <v>2532894.6666668695</v>
      </c>
      <c r="F47" s="183">
        <v>0</v>
      </c>
      <c r="G47" s="183">
        <v>0</v>
      </c>
      <c r="H47" s="182">
        <f>'ИП 23-28'!J152*1000-E47</f>
        <v>1688596.4444445795</v>
      </c>
      <c r="I47" s="183">
        <v>0</v>
      </c>
      <c r="J47" s="183">
        <v>0</v>
      </c>
      <c r="K47" s="183">
        <v>0</v>
      </c>
      <c r="L47" s="183">
        <v>0</v>
      </c>
      <c r="M47" s="183">
        <v>0</v>
      </c>
      <c r="N47" s="183">
        <v>0</v>
      </c>
      <c r="O47" s="183">
        <v>0</v>
      </c>
      <c r="P47" s="183"/>
    </row>
    <row r="48" spans="1:16" s="191" customFormat="1" outlineLevel="1">
      <c r="A48" s="173">
        <f t="shared" ref="A48:A52" si="22">A47</f>
        <v>2027</v>
      </c>
      <c r="B48" s="189" t="s">
        <v>239</v>
      </c>
      <c r="C48" s="190" t="s">
        <v>105</v>
      </c>
      <c r="D48" s="187">
        <f>SUM(E48:P48)</f>
        <v>0</v>
      </c>
      <c r="E48" s="187">
        <f t="shared" ref="E48:P48" si="23">($K$19/1.2)/6/12</f>
        <v>0</v>
      </c>
      <c r="F48" s="187">
        <f t="shared" si="23"/>
        <v>0</v>
      </c>
      <c r="G48" s="187">
        <f t="shared" si="23"/>
        <v>0</v>
      </c>
      <c r="H48" s="187">
        <f t="shared" si="23"/>
        <v>0</v>
      </c>
      <c r="I48" s="187">
        <f t="shared" si="23"/>
        <v>0</v>
      </c>
      <c r="J48" s="187">
        <f t="shared" si="23"/>
        <v>0</v>
      </c>
      <c r="K48" s="187">
        <f t="shared" si="23"/>
        <v>0</v>
      </c>
      <c r="L48" s="187">
        <f t="shared" si="23"/>
        <v>0</v>
      </c>
      <c r="M48" s="187">
        <f t="shared" si="23"/>
        <v>0</v>
      </c>
      <c r="N48" s="187">
        <f t="shared" si="23"/>
        <v>0</v>
      </c>
      <c r="O48" s="187">
        <f t="shared" si="23"/>
        <v>0</v>
      </c>
      <c r="P48" s="183">
        <f t="shared" si="23"/>
        <v>0</v>
      </c>
    </row>
    <row r="49" spans="1:16" s="171" customFormat="1" ht="13.5" customHeight="1" outlineLevel="1">
      <c r="A49" s="173">
        <f t="shared" si="22"/>
        <v>2027</v>
      </c>
      <c r="B49" s="180" t="s">
        <v>240</v>
      </c>
      <c r="C49" s="181" t="s">
        <v>105</v>
      </c>
      <c r="D49" s="184"/>
      <c r="E49" s="183">
        <f>IF(P42+E47-E48&lt;0,0,P42+E47-E48)</f>
        <v>21523767.722222466</v>
      </c>
      <c r="F49" s="183">
        <f t="shared" ref="F49:P49" si="24">IF(E49+F47-F48&lt;0,0,E49+F47-F48)</f>
        <v>21523767.722222466</v>
      </c>
      <c r="G49" s="183">
        <f t="shared" si="24"/>
        <v>21523767.722222466</v>
      </c>
      <c r="H49" s="183">
        <f t="shared" si="24"/>
        <v>23212364.166667044</v>
      </c>
      <c r="I49" s="183">
        <f t="shared" si="24"/>
        <v>23212364.166667044</v>
      </c>
      <c r="J49" s="183">
        <f t="shared" si="24"/>
        <v>23212364.166667044</v>
      </c>
      <c r="K49" s="183">
        <f t="shared" si="24"/>
        <v>23212364.166667044</v>
      </c>
      <c r="L49" s="183">
        <f t="shared" si="24"/>
        <v>23212364.166667044</v>
      </c>
      <c r="M49" s="183">
        <f t="shared" si="24"/>
        <v>23212364.166667044</v>
      </c>
      <c r="N49" s="183">
        <f t="shared" si="24"/>
        <v>23212364.166667044</v>
      </c>
      <c r="O49" s="183">
        <f t="shared" si="24"/>
        <v>23212364.166667044</v>
      </c>
      <c r="P49" s="183">
        <f t="shared" si="24"/>
        <v>23212364.166667044</v>
      </c>
    </row>
    <row r="50" spans="1:16" s="171" customFormat="1" ht="13.5" customHeight="1" outlineLevel="1">
      <c r="A50" s="173">
        <f t="shared" si="22"/>
        <v>2027</v>
      </c>
      <c r="B50" s="180" t="s">
        <v>241</v>
      </c>
      <c r="C50" s="185" t="s">
        <v>242</v>
      </c>
      <c r="D50" s="184">
        <v>365</v>
      </c>
      <c r="E50" s="183">
        <v>31</v>
      </c>
      <c r="F50" s="183">
        <v>28</v>
      </c>
      <c r="G50" s="183">
        <v>31</v>
      </c>
      <c r="H50" s="183">
        <v>30</v>
      </c>
      <c r="I50" s="183">
        <v>31</v>
      </c>
      <c r="J50" s="183">
        <v>30</v>
      </c>
      <c r="K50" s="183">
        <v>31</v>
      </c>
      <c r="L50" s="183">
        <v>31</v>
      </c>
      <c r="M50" s="183">
        <v>30</v>
      </c>
      <c r="N50" s="183">
        <v>31</v>
      </c>
      <c r="O50" s="183">
        <v>30</v>
      </c>
      <c r="P50" s="183">
        <v>31</v>
      </c>
    </row>
    <row r="51" spans="1:16" s="171" customFormat="1" ht="13.5" customHeight="1" outlineLevel="1">
      <c r="A51" s="173">
        <f t="shared" si="22"/>
        <v>2027</v>
      </c>
      <c r="B51" s="180" t="s">
        <v>243</v>
      </c>
      <c r="C51" s="181" t="s">
        <v>105</v>
      </c>
      <c r="D51" s="188">
        <f>SUM(E51:P51)</f>
        <v>3419399.6880137497</v>
      </c>
      <c r="E51" s="187">
        <f>E49*E50/$D$43*$D$7</f>
        <v>274206.90385845059</v>
      </c>
      <c r="F51" s="187">
        <f t="shared" ref="F51:O51" si="25">F49*F50/$D$43*$D$7</f>
        <v>247670.75187214889</v>
      </c>
      <c r="G51" s="187">
        <f t="shared" si="25"/>
        <v>274206.90385845059</v>
      </c>
      <c r="H51" s="187">
        <f t="shared" si="25"/>
        <v>286179.83219178545</v>
      </c>
      <c r="I51" s="187">
        <f t="shared" si="25"/>
        <v>295719.15993151168</v>
      </c>
      <c r="J51" s="187">
        <f t="shared" si="25"/>
        <v>286179.83219178545</v>
      </c>
      <c r="K51" s="187">
        <f t="shared" si="25"/>
        <v>295719.15993151168</v>
      </c>
      <c r="L51" s="187">
        <f t="shared" si="25"/>
        <v>295719.15993151168</v>
      </c>
      <c r="M51" s="187">
        <f t="shared" si="25"/>
        <v>286179.83219178545</v>
      </c>
      <c r="N51" s="187">
        <f t="shared" si="25"/>
        <v>295719.15993151168</v>
      </c>
      <c r="O51" s="187">
        <f t="shared" si="25"/>
        <v>286179.83219178545</v>
      </c>
      <c r="P51" s="187">
        <f>P49*P50/$D$50*$D$7</f>
        <v>295719.15993151168</v>
      </c>
    </row>
    <row r="52" spans="1:16" s="171" customFormat="1" ht="13.5" customHeight="1" outlineLevel="1">
      <c r="A52" s="173">
        <f t="shared" si="22"/>
        <v>2027</v>
      </c>
      <c r="B52" s="180" t="s">
        <v>244</v>
      </c>
      <c r="C52" s="181" t="s">
        <v>105</v>
      </c>
      <c r="D52" s="187">
        <f>SUM(E52:P52)</f>
        <v>3419399.6880137497</v>
      </c>
      <c r="E52" s="187">
        <f>E48+E51</f>
        <v>274206.90385845059</v>
      </c>
      <c r="F52" s="187">
        <f t="shared" ref="F52:O52" si="26">F48+F51</f>
        <v>247670.75187214889</v>
      </c>
      <c r="G52" s="187">
        <f t="shared" si="26"/>
        <v>274206.90385845059</v>
      </c>
      <c r="H52" s="187">
        <f t="shared" si="26"/>
        <v>286179.83219178545</v>
      </c>
      <c r="I52" s="187">
        <f t="shared" si="26"/>
        <v>295719.15993151168</v>
      </c>
      <c r="J52" s="187">
        <f t="shared" si="26"/>
        <v>286179.83219178545</v>
      </c>
      <c r="K52" s="187">
        <f t="shared" si="26"/>
        <v>295719.15993151168</v>
      </c>
      <c r="L52" s="187">
        <f t="shared" si="26"/>
        <v>295719.15993151168</v>
      </c>
      <c r="M52" s="187">
        <f t="shared" si="26"/>
        <v>286179.83219178545</v>
      </c>
      <c r="N52" s="187">
        <f t="shared" si="26"/>
        <v>295719.15993151168</v>
      </c>
      <c r="O52" s="187">
        <f t="shared" si="26"/>
        <v>286179.83219178545</v>
      </c>
      <c r="P52" s="187">
        <f>P48+P51</f>
        <v>295719.15993151168</v>
      </c>
    </row>
    <row r="53" spans="1:16" s="171" customFormat="1">
      <c r="B53" s="176" t="s">
        <v>225</v>
      </c>
      <c r="C53" s="177"/>
      <c r="D53" s="178">
        <f>D46+1</f>
        <v>2028</v>
      </c>
      <c r="E53" s="179" t="s">
        <v>226</v>
      </c>
      <c r="F53" s="179" t="s">
        <v>227</v>
      </c>
      <c r="G53" s="179" t="s">
        <v>228</v>
      </c>
      <c r="H53" s="179" t="s">
        <v>229</v>
      </c>
      <c r="I53" s="179" t="s">
        <v>230</v>
      </c>
      <c r="J53" s="179" t="s">
        <v>231</v>
      </c>
      <c r="K53" s="179" t="s">
        <v>232</v>
      </c>
      <c r="L53" s="179" t="s">
        <v>233</v>
      </c>
      <c r="M53" s="179" t="s">
        <v>234</v>
      </c>
      <c r="N53" s="179" t="s">
        <v>235</v>
      </c>
      <c r="O53" s="179" t="s">
        <v>236</v>
      </c>
      <c r="P53" s="179" t="s">
        <v>237</v>
      </c>
    </row>
    <row r="54" spans="1:16" s="171" customFormat="1" ht="13.5" customHeight="1" outlineLevel="1">
      <c r="A54" s="173">
        <f t="shared" ref="A54" si="27">D53</f>
        <v>2028</v>
      </c>
      <c r="B54" s="180" t="s">
        <v>238</v>
      </c>
      <c r="C54" s="181" t="s">
        <v>105</v>
      </c>
      <c r="D54" s="183">
        <f>SUM(E54:P54)</f>
        <v>0</v>
      </c>
      <c r="E54" s="182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</row>
    <row r="55" spans="1:16" s="171" customFormat="1" ht="13.5" customHeight="1" outlineLevel="1">
      <c r="A55" s="173">
        <f t="shared" ref="A55:A59" si="28">A54</f>
        <v>2028</v>
      </c>
      <c r="B55" s="180" t="s">
        <v>239</v>
      </c>
      <c r="C55" s="181" t="s">
        <v>105</v>
      </c>
      <c r="D55" s="187">
        <f>SUM(E55:P55)</f>
        <v>0</v>
      </c>
      <c r="E55" s="187">
        <f t="shared" ref="E55:P55" si="29">($K$19/1.2)/6/12</f>
        <v>0</v>
      </c>
      <c r="F55" s="187">
        <f t="shared" si="29"/>
        <v>0</v>
      </c>
      <c r="G55" s="187">
        <f t="shared" si="29"/>
        <v>0</v>
      </c>
      <c r="H55" s="187">
        <f t="shared" si="29"/>
        <v>0</v>
      </c>
      <c r="I55" s="187">
        <f t="shared" si="29"/>
        <v>0</v>
      </c>
      <c r="J55" s="187">
        <f t="shared" si="29"/>
        <v>0</v>
      </c>
      <c r="K55" s="187">
        <f t="shared" si="29"/>
        <v>0</v>
      </c>
      <c r="L55" s="187">
        <f t="shared" si="29"/>
        <v>0</v>
      </c>
      <c r="M55" s="187">
        <f t="shared" si="29"/>
        <v>0</v>
      </c>
      <c r="N55" s="187">
        <f t="shared" si="29"/>
        <v>0</v>
      </c>
      <c r="O55" s="187">
        <f t="shared" si="29"/>
        <v>0</v>
      </c>
      <c r="P55" s="187">
        <f t="shared" si="29"/>
        <v>0</v>
      </c>
    </row>
    <row r="56" spans="1:16" s="171" customFormat="1" ht="13.5" customHeight="1" outlineLevel="1">
      <c r="A56" s="173">
        <f t="shared" si="28"/>
        <v>2028</v>
      </c>
      <c r="B56" s="180" t="s">
        <v>240</v>
      </c>
      <c r="C56" s="181" t="s">
        <v>105</v>
      </c>
      <c r="D56" s="184"/>
      <c r="E56" s="183">
        <f>IF(P49+E54-E55&lt;0,0,P49+E54-E55)</f>
        <v>23212364.166667044</v>
      </c>
      <c r="F56" s="183">
        <f>IF(E56+F54-F55&lt;0,0,E56+F54-F55)</f>
        <v>23212364.166667044</v>
      </c>
      <c r="G56" s="183">
        <f t="shared" ref="G56:O56" si="30">IF(F56+G54-G55&lt;0,0,F56+G54-G55)</f>
        <v>23212364.166667044</v>
      </c>
      <c r="H56" s="183">
        <f t="shared" si="30"/>
        <v>23212364.166667044</v>
      </c>
      <c r="I56" s="183">
        <f t="shared" si="30"/>
        <v>23212364.166667044</v>
      </c>
      <c r="J56" s="183">
        <f t="shared" si="30"/>
        <v>23212364.166667044</v>
      </c>
      <c r="K56" s="183">
        <f t="shared" si="30"/>
        <v>23212364.166667044</v>
      </c>
      <c r="L56" s="183">
        <f t="shared" si="30"/>
        <v>23212364.166667044</v>
      </c>
      <c r="M56" s="183">
        <f t="shared" si="30"/>
        <v>23212364.166667044</v>
      </c>
      <c r="N56" s="183">
        <f t="shared" si="30"/>
        <v>23212364.166667044</v>
      </c>
      <c r="O56" s="183">
        <f t="shared" si="30"/>
        <v>23212364.166667044</v>
      </c>
      <c r="P56" s="187">
        <f>IF(O56+P54-P55&lt;0,0,O56+P54-P55)</f>
        <v>23212364.166667044</v>
      </c>
    </row>
    <row r="57" spans="1:16" s="191" customFormat="1" ht="13.5" customHeight="1" outlineLevel="1">
      <c r="A57" s="173">
        <f t="shared" si="28"/>
        <v>2028</v>
      </c>
      <c r="B57" s="189" t="s">
        <v>241</v>
      </c>
      <c r="C57" s="192" t="s">
        <v>242</v>
      </c>
      <c r="D57" s="187">
        <f>D29</f>
        <v>366</v>
      </c>
      <c r="E57" s="187">
        <v>31</v>
      </c>
      <c r="F57" s="187">
        <v>29</v>
      </c>
      <c r="G57" s="187">
        <v>31</v>
      </c>
      <c r="H57" s="187">
        <v>30</v>
      </c>
      <c r="I57" s="187">
        <v>31</v>
      </c>
      <c r="J57" s="187">
        <v>30</v>
      </c>
      <c r="K57" s="187">
        <v>31</v>
      </c>
      <c r="L57" s="187">
        <v>31</v>
      </c>
      <c r="M57" s="187">
        <v>30</v>
      </c>
      <c r="N57" s="187">
        <v>31</v>
      </c>
      <c r="O57" s="187">
        <v>30</v>
      </c>
      <c r="P57" s="187">
        <v>31</v>
      </c>
    </row>
    <row r="58" spans="1:16" s="171" customFormat="1" ht="13.5" customHeight="1" outlineLevel="1">
      <c r="A58" s="173">
        <f t="shared" si="28"/>
        <v>2028</v>
      </c>
      <c r="B58" s="180" t="s">
        <v>243</v>
      </c>
      <c r="C58" s="181" t="s">
        <v>105</v>
      </c>
      <c r="D58" s="188">
        <f>SUM(E58:P58)</f>
        <v>3481854.6250000563</v>
      </c>
      <c r="E58" s="187">
        <f t="shared" ref="E58:P58" si="31">E56*E57/$D$57*$D$7</f>
        <v>294911.18408470426</v>
      </c>
      <c r="F58" s="187">
        <f t="shared" si="31"/>
        <v>275884.65607923944</v>
      </c>
      <c r="G58" s="187">
        <f t="shared" si="31"/>
        <v>294911.18408470426</v>
      </c>
      <c r="H58" s="187">
        <f t="shared" si="31"/>
        <v>285397.92008197185</v>
      </c>
      <c r="I58" s="187">
        <f t="shared" si="31"/>
        <v>294911.18408470426</v>
      </c>
      <c r="J58" s="187">
        <f t="shared" si="31"/>
        <v>285397.92008197185</v>
      </c>
      <c r="K58" s="187">
        <f t="shared" si="31"/>
        <v>294911.18408470426</v>
      </c>
      <c r="L58" s="187">
        <f t="shared" si="31"/>
        <v>294911.18408470426</v>
      </c>
      <c r="M58" s="187">
        <f t="shared" si="31"/>
        <v>285397.92008197185</v>
      </c>
      <c r="N58" s="187">
        <f t="shared" si="31"/>
        <v>294911.18408470426</v>
      </c>
      <c r="O58" s="187">
        <f t="shared" si="31"/>
        <v>285397.92008197185</v>
      </c>
      <c r="P58" s="187">
        <f t="shared" si="31"/>
        <v>294911.18408470426</v>
      </c>
    </row>
    <row r="59" spans="1:16" s="171" customFormat="1" ht="13.5" customHeight="1" outlineLevel="1">
      <c r="A59" s="173">
        <f t="shared" si="28"/>
        <v>2028</v>
      </c>
      <c r="B59" s="180" t="s">
        <v>244</v>
      </c>
      <c r="C59" s="181" t="s">
        <v>105</v>
      </c>
      <c r="D59" s="187">
        <f>SUM(E59:P59)</f>
        <v>3481854.6250000563</v>
      </c>
      <c r="E59" s="187">
        <f t="shared" ref="E59:P59" si="32">E55+E58</f>
        <v>294911.18408470426</v>
      </c>
      <c r="F59" s="187">
        <f t="shared" si="32"/>
        <v>275884.65607923944</v>
      </c>
      <c r="G59" s="187">
        <f t="shared" si="32"/>
        <v>294911.18408470426</v>
      </c>
      <c r="H59" s="187">
        <f t="shared" si="32"/>
        <v>285397.92008197185</v>
      </c>
      <c r="I59" s="187">
        <f t="shared" si="32"/>
        <v>294911.18408470426</v>
      </c>
      <c r="J59" s="187">
        <f t="shared" si="32"/>
        <v>285397.92008197185</v>
      </c>
      <c r="K59" s="187">
        <f t="shared" si="32"/>
        <v>294911.18408470426</v>
      </c>
      <c r="L59" s="187">
        <f t="shared" si="32"/>
        <v>294911.18408470426</v>
      </c>
      <c r="M59" s="187">
        <f t="shared" si="32"/>
        <v>285397.92008197185</v>
      </c>
      <c r="N59" s="187">
        <f t="shared" si="32"/>
        <v>294911.18408470426</v>
      </c>
      <c r="O59" s="187">
        <f t="shared" si="32"/>
        <v>285397.92008197185</v>
      </c>
      <c r="P59" s="187">
        <f t="shared" si="32"/>
        <v>294911.18408470426</v>
      </c>
    </row>
    <row r="60" spans="1:16" s="171" customFormat="1">
      <c r="B60" s="176" t="s">
        <v>225</v>
      </c>
      <c r="C60" s="177"/>
      <c r="D60" s="178">
        <f>D53+1</f>
        <v>2029</v>
      </c>
      <c r="E60" s="179" t="s">
        <v>226</v>
      </c>
      <c r="F60" s="179" t="s">
        <v>227</v>
      </c>
      <c r="G60" s="179" t="s">
        <v>228</v>
      </c>
      <c r="H60" s="179" t="s">
        <v>229</v>
      </c>
      <c r="I60" s="179" t="s">
        <v>230</v>
      </c>
      <c r="J60" s="179" t="s">
        <v>231</v>
      </c>
      <c r="K60" s="179" t="s">
        <v>232</v>
      </c>
      <c r="L60" s="179" t="s">
        <v>233</v>
      </c>
      <c r="M60" s="179" t="s">
        <v>234</v>
      </c>
      <c r="N60" s="179" t="s">
        <v>235</v>
      </c>
      <c r="O60" s="179" t="s">
        <v>236</v>
      </c>
      <c r="P60" s="179" t="s">
        <v>237</v>
      </c>
    </row>
    <row r="61" spans="1:16" s="171" customFormat="1" ht="13.5" customHeight="1" outlineLevel="1">
      <c r="A61" s="173">
        <f t="shared" ref="A61" si="33">D60</f>
        <v>2029</v>
      </c>
      <c r="B61" s="180" t="s">
        <v>238</v>
      </c>
      <c r="C61" s="181" t="s">
        <v>105</v>
      </c>
      <c r="D61" s="183">
        <f>SUM(E61:P61)</f>
        <v>0</v>
      </c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</row>
    <row r="62" spans="1:16" s="171" customFormat="1" ht="13.5" customHeight="1" outlineLevel="1">
      <c r="A62" s="173">
        <f t="shared" ref="A62:A66" si="34">A61</f>
        <v>2029</v>
      </c>
      <c r="B62" s="180" t="s">
        <v>239</v>
      </c>
      <c r="C62" s="181" t="s">
        <v>105</v>
      </c>
      <c r="D62" s="188">
        <f>SUM(E62:P62)</f>
        <v>11606182.08333352</v>
      </c>
      <c r="E62" s="183">
        <f>D5/2/12</f>
        <v>967181.84027779347</v>
      </c>
      <c r="F62" s="183">
        <f>E62</f>
        <v>967181.84027779347</v>
      </c>
      <c r="G62" s="183">
        <f t="shared" ref="G62:P62" si="35">F62</f>
        <v>967181.84027779347</v>
      </c>
      <c r="H62" s="183">
        <f t="shared" si="35"/>
        <v>967181.84027779347</v>
      </c>
      <c r="I62" s="183">
        <f t="shared" si="35"/>
        <v>967181.84027779347</v>
      </c>
      <c r="J62" s="183">
        <f t="shared" si="35"/>
        <v>967181.84027779347</v>
      </c>
      <c r="K62" s="183">
        <f t="shared" si="35"/>
        <v>967181.84027779347</v>
      </c>
      <c r="L62" s="183">
        <f t="shared" si="35"/>
        <v>967181.84027779347</v>
      </c>
      <c r="M62" s="183">
        <f t="shared" si="35"/>
        <v>967181.84027779347</v>
      </c>
      <c r="N62" s="183">
        <f t="shared" si="35"/>
        <v>967181.84027779347</v>
      </c>
      <c r="O62" s="183">
        <f t="shared" si="35"/>
        <v>967181.84027779347</v>
      </c>
      <c r="P62" s="183">
        <f t="shared" si="35"/>
        <v>967181.84027779347</v>
      </c>
    </row>
    <row r="63" spans="1:16" s="171" customFormat="1" ht="13.5" customHeight="1" outlineLevel="1">
      <c r="A63" s="173">
        <f t="shared" si="34"/>
        <v>2029</v>
      </c>
      <c r="B63" s="180" t="s">
        <v>240</v>
      </c>
      <c r="C63" s="181" t="s">
        <v>105</v>
      </c>
      <c r="D63" s="184"/>
      <c r="E63" s="183">
        <f>IF(P56+E61-E62&lt;0,0,P56+E61-E62)</f>
        <v>22245182.326389249</v>
      </c>
      <c r="F63" s="183">
        <f>IF(E63+F61-F62&lt;0,0,E63+F61-F62)</f>
        <v>21278000.486111455</v>
      </c>
      <c r="G63" s="183">
        <f t="shared" ref="G63:O63" si="36">IF(F63+G61-G62&lt;0,0,F63+G61-G62)</f>
        <v>20310818.64583366</v>
      </c>
      <c r="H63" s="183">
        <f t="shared" si="36"/>
        <v>19343636.805555865</v>
      </c>
      <c r="I63" s="183">
        <f t="shared" si="36"/>
        <v>18376454.96527807</v>
      </c>
      <c r="J63" s="183">
        <f t="shared" si="36"/>
        <v>17409273.125000276</v>
      </c>
      <c r="K63" s="183">
        <f t="shared" si="36"/>
        <v>16442091.284722483</v>
      </c>
      <c r="L63" s="183">
        <f t="shared" si="36"/>
        <v>15474909.44444469</v>
      </c>
      <c r="M63" s="183">
        <f t="shared" si="36"/>
        <v>14507727.604166897</v>
      </c>
      <c r="N63" s="183">
        <f t="shared" si="36"/>
        <v>13540545.763889104</v>
      </c>
      <c r="O63" s="183">
        <f t="shared" si="36"/>
        <v>12573363.923611311</v>
      </c>
      <c r="P63" s="183">
        <f>IF(O63+P61-P62&lt;0,0,O63+P61-P62)</f>
        <v>11606182.083333518</v>
      </c>
    </row>
    <row r="64" spans="1:16" s="191" customFormat="1" ht="13.5" customHeight="1" outlineLevel="1">
      <c r="A64" s="173">
        <f t="shared" si="34"/>
        <v>2029</v>
      </c>
      <c r="B64" s="189" t="s">
        <v>241</v>
      </c>
      <c r="C64" s="192" t="s">
        <v>242</v>
      </c>
      <c r="D64" s="187">
        <f>D36</f>
        <v>365</v>
      </c>
      <c r="E64" s="187">
        <v>31</v>
      </c>
      <c r="F64" s="187">
        <v>28</v>
      </c>
      <c r="G64" s="187">
        <v>31</v>
      </c>
      <c r="H64" s="187">
        <v>30</v>
      </c>
      <c r="I64" s="187">
        <v>31</v>
      </c>
      <c r="J64" s="187">
        <v>30</v>
      </c>
      <c r="K64" s="187">
        <v>31</v>
      </c>
      <c r="L64" s="187">
        <v>31</v>
      </c>
      <c r="M64" s="187">
        <v>30</v>
      </c>
      <c r="N64" s="187">
        <v>31</v>
      </c>
      <c r="O64" s="187">
        <v>30</v>
      </c>
      <c r="P64" s="187">
        <v>31</v>
      </c>
    </row>
    <row r="65" spans="1:16" s="171" customFormat="1" ht="13.5" customHeight="1" outlineLevel="1">
      <c r="A65" s="173">
        <f t="shared" si="34"/>
        <v>2029</v>
      </c>
      <c r="B65" s="180" t="s">
        <v>243</v>
      </c>
      <c r="C65" s="181" t="s">
        <v>105</v>
      </c>
      <c r="D65" s="188">
        <f>SUM(E65:P65)</f>
        <v>2535076.3468322325</v>
      </c>
      <c r="E65" s="187">
        <f t="shared" ref="E65:P65" si="37">E63*E64/$D$64*$D$7</f>
        <v>283397.52826769865</v>
      </c>
      <c r="F65" s="187">
        <f t="shared" si="37"/>
        <v>244842.74531963863</v>
      </c>
      <c r="G65" s="187">
        <f t="shared" si="37"/>
        <v>258754.26494007267</v>
      </c>
      <c r="H65" s="187">
        <f t="shared" si="37"/>
        <v>238483.19349315448</v>
      </c>
      <c r="I65" s="187">
        <f t="shared" si="37"/>
        <v>234111.00161244665</v>
      </c>
      <c r="J65" s="187">
        <f t="shared" si="37"/>
        <v>214634.87414383903</v>
      </c>
      <c r="K65" s="187">
        <f t="shared" si="37"/>
        <v>209467.73828482066</v>
      </c>
      <c r="L65" s="187">
        <f t="shared" si="37"/>
        <v>197146.1066210077</v>
      </c>
      <c r="M65" s="187">
        <f t="shared" si="37"/>
        <v>178862.39511986583</v>
      </c>
      <c r="N65" s="187">
        <f t="shared" si="37"/>
        <v>172502.84329338174</v>
      </c>
      <c r="O65" s="187">
        <f t="shared" si="37"/>
        <v>155014.07577055041</v>
      </c>
      <c r="P65" s="187">
        <f t="shared" si="37"/>
        <v>147859.57996575578</v>
      </c>
    </row>
    <row r="66" spans="1:16" s="171" customFormat="1" ht="13.5" customHeight="1" outlineLevel="1">
      <c r="A66" s="173">
        <f t="shared" si="34"/>
        <v>2029</v>
      </c>
      <c r="B66" s="180" t="s">
        <v>244</v>
      </c>
      <c r="C66" s="181" t="s">
        <v>105</v>
      </c>
      <c r="D66" s="187">
        <f>SUM(E66:P66)</f>
        <v>14141258.430165753</v>
      </c>
      <c r="E66" s="187">
        <f t="shared" ref="E66:P66" si="38">E62+E65</f>
        <v>1250579.3685454922</v>
      </c>
      <c r="F66" s="187">
        <f t="shared" si="38"/>
        <v>1212024.5855974322</v>
      </c>
      <c r="G66" s="187">
        <f t="shared" si="38"/>
        <v>1225936.1052178661</v>
      </c>
      <c r="H66" s="187">
        <f t="shared" si="38"/>
        <v>1205665.0337709479</v>
      </c>
      <c r="I66" s="187">
        <f t="shared" si="38"/>
        <v>1201292.8418902401</v>
      </c>
      <c r="J66" s="187">
        <f t="shared" si="38"/>
        <v>1181816.7144216325</v>
      </c>
      <c r="K66" s="187">
        <f t="shared" si="38"/>
        <v>1176649.578562614</v>
      </c>
      <c r="L66" s="187">
        <f t="shared" si="38"/>
        <v>1164327.9468988013</v>
      </c>
      <c r="M66" s="187">
        <f t="shared" si="38"/>
        <v>1146044.2353976592</v>
      </c>
      <c r="N66" s="187">
        <f t="shared" si="38"/>
        <v>1139684.6835711752</v>
      </c>
      <c r="O66" s="187">
        <f t="shared" si="38"/>
        <v>1122195.9160483438</v>
      </c>
      <c r="P66" s="187">
        <f t="shared" si="38"/>
        <v>1115041.4202435492</v>
      </c>
    </row>
    <row r="67" spans="1:16" s="171" customFormat="1">
      <c r="B67" s="176" t="s">
        <v>225</v>
      </c>
      <c r="C67" s="177"/>
      <c r="D67" s="178">
        <f>D60+1</f>
        <v>2030</v>
      </c>
      <c r="E67" s="179" t="s">
        <v>226</v>
      </c>
      <c r="F67" s="179" t="s">
        <v>227</v>
      </c>
      <c r="G67" s="179" t="s">
        <v>228</v>
      </c>
      <c r="H67" s="179" t="s">
        <v>229</v>
      </c>
      <c r="I67" s="179" t="s">
        <v>230</v>
      </c>
      <c r="J67" s="179" t="s">
        <v>231</v>
      </c>
      <c r="K67" s="179" t="s">
        <v>232</v>
      </c>
      <c r="L67" s="179" t="s">
        <v>233</v>
      </c>
      <c r="M67" s="179" t="s">
        <v>234</v>
      </c>
      <c r="N67" s="179" t="s">
        <v>235</v>
      </c>
      <c r="O67" s="179" t="s">
        <v>236</v>
      </c>
      <c r="P67" s="179" t="s">
        <v>237</v>
      </c>
    </row>
    <row r="68" spans="1:16" s="171" customFormat="1" ht="13.5" customHeight="1" outlineLevel="1">
      <c r="A68" s="173">
        <f t="shared" ref="A68" si="39">D67</f>
        <v>2030</v>
      </c>
      <c r="B68" s="180" t="s">
        <v>238</v>
      </c>
      <c r="C68" s="181" t="s">
        <v>105</v>
      </c>
      <c r="D68" s="183">
        <f>SUM(E68:P68)</f>
        <v>0</v>
      </c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</row>
    <row r="69" spans="1:16" s="171" customFormat="1" ht="13.5" customHeight="1" outlineLevel="1">
      <c r="A69" s="173">
        <f t="shared" ref="A69:A73" si="40">A68</f>
        <v>2030</v>
      </c>
      <c r="B69" s="180" t="s">
        <v>239</v>
      </c>
      <c r="C69" s="181" t="s">
        <v>105</v>
      </c>
      <c r="D69" s="188">
        <f>SUM(E69:P69)</f>
        <v>11606182.08333352</v>
      </c>
      <c r="E69" s="183">
        <f>P62</f>
        <v>967181.84027779347</v>
      </c>
      <c r="F69" s="183">
        <f>E69</f>
        <v>967181.84027779347</v>
      </c>
      <c r="G69" s="183">
        <f t="shared" ref="G69:P69" si="41">F69</f>
        <v>967181.84027779347</v>
      </c>
      <c r="H69" s="183">
        <f t="shared" si="41"/>
        <v>967181.84027779347</v>
      </c>
      <c r="I69" s="183">
        <f t="shared" si="41"/>
        <v>967181.84027779347</v>
      </c>
      <c r="J69" s="183">
        <f t="shared" si="41"/>
        <v>967181.84027779347</v>
      </c>
      <c r="K69" s="183">
        <f t="shared" si="41"/>
        <v>967181.84027779347</v>
      </c>
      <c r="L69" s="183">
        <f t="shared" si="41"/>
        <v>967181.84027779347</v>
      </c>
      <c r="M69" s="183">
        <f t="shared" si="41"/>
        <v>967181.84027779347</v>
      </c>
      <c r="N69" s="183">
        <f t="shared" si="41"/>
        <v>967181.84027779347</v>
      </c>
      <c r="O69" s="183">
        <f t="shared" si="41"/>
        <v>967181.84027779347</v>
      </c>
      <c r="P69" s="183">
        <f t="shared" si="41"/>
        <v>967181.84027779347</v>
      </c>
    </row>
    <row r="70" spans="1:16" s="171" customFormat="1" ht="13.5" customHeight="1" outlineLevel="1">
      <c r="A70" s="173">
        <f t="shared" si="40"/>
        <v>2030</v>
      </c>
      <c r="B70" s="180" t="s">
        <v>240</v>
      </c>
      <c r="C70" s="181" t="s">
        <v>105</v>
      </c>
      <c r="D70" s="184"/>
      <c r="E70" s="183">
        <f>IF(P63+E68-E69&lt;0,0,P63+E68-E69)</f>
        <v>10639000.243055725</v>
      </c>
      <c r="F70" s="183">
        <f>IF(E70+F68-F69&lt;0,0,E70+F68-F69)</f>
        <v>9671818.4027779326</v>
      </c>
      <c r="G70" s="183">
        <f t="shared" ref="G70:O70" si="42">IF(F70+G68-G69&lt;0,0,F70+G68-G69)</f>
        <v>8704636.5625001397</v>
      </c>
      <c r="H70" s="183">
        <f t="shared" si="42"/>
        <v>7737454.7222223459</v>
      </c>
      <c r="I70" s="183">
        <f t="shared" si="42"/>
        <v>6770272.8819445521</v>
      </c>
      <c r="J70" s="183">
        <f t="shared" si="42"/>
        <v>5803091.0416667582</v>
      </c>
      <c r="K70" s="183">
        <f t="shared" si="42"/>
        <v>4835909.2013889644</v>
      </c>
      <c r="L70" s="183">
        <f t="shared" si="42"/>
        <v>3868727.3611111711</v>
      </c>
      <c r="M70" s="183">
        <f t="shared" si="42"/>
        <v>2901545.5208333777</v>
      </c>
      <c r="N70" s="183">
        <f t="shared" si="42"/>
        <v>1934363.6805555844</v>
      </c>
      <c r="O70" s="183">
        <f t="shared" si="42"/>
        <v>967181.84027779091</v>
      </c>
      <c r="P70" s="193">
        <f>IF(O70+P68-P69&lt;0,0,O70+P68-P69)</f>
        <v>0</v>
      </c>
    </row>
    <row r="71" spans="1:16" s="171" customFormat="1" ht="13.5" customHeight="1" outlineLevel="1">
      <c r="A71" s="173">
        <f t="shared" si="40"/>
        <v>2030</v>
      </c>
      <c r="B71" s="180" t="s">
        <v>241</v>
      </c>
      <c r="C71" s="185" t="s">
        <v>242</v>
      </c>
      <c r="D71" s="184">
        <f>D64</f>
        <v>365</v>
      </c>
      <c r="E71" s="183">
        <v>31</v>
      </c>
      <c r="F71" s="183">
        <v>28</v>
      </c>
      <c r="G71" s="183">
        <v>31</v>
      </c>
      <c r="H71" s="183">
        <v>30</v>
      </c>
      <c r="I71" s="183">
        <v>31</v>
      </c>
      <c r="J71" s="183">
        <v>30</v>
      </c>
      <c r="K71" s="183">
        <v>31</v>
      </c>
      <c r="L71" s="183">
        <v>31</v>
      </c>
      <c r="M71" s="183">
        <v>30</v>
      </c>
      <c r="N71" s="183">
        <v>31</v>
      </c>
      <c r="O71" s="183">
        <v>30</v>
      </c>
      <c r="P71" s="183">
        <v>31</v>
      </c>
    </row>
    <row r="72" spans="1:16" s="171" customFormat="1" ht="13.5" customHeight="1" outlineLevel="1">
      <c r="A72" s="173">
        <f t="shared" si="40"/>
        <v>2030</v>
      </c>
      <c r="B72" s="180" t="s">
        <v>243</v>
      </c>
      <c r="C72" s="181" t="s">
        <v>105</v>
      </c>
      <c r="D72" s="188">
        <f>SUM(E72:P72)</f>
        <v>794149.03433220426</v>
      </c>
      <c r="E72" s="187">
        <f t="shared" ref="E72:P72" si="43">E70*E71/$D$71*$D$7</f>
        <v>135537.94830194282</v>
      </c>
      <c r="F72" s="187">
        <f t="shared" si="43"/>
        <v>111292.15696347209</v>
      </c>
      <c r="G72" s="187">
        <f t="shared" si="43"/>
        <v>110894.68497431686</v>
      </c>
      <c r="H72" s="187">
        <f t="shared" si="43"/>
        <v>95393.277397261787</v>
      </c>
      <c r="I72" s="187">
        <f t="shared" si="43"/>
        <v>86251.421646690869</v>
      </c>
      <c r="J72" s="187">
        <f t="shared" si="43"/>
        <v>71544.958047946333</v>
      </c>
      <c r="K72" s="187">
        <f t="shared" si="43"/>
        <v>61608.158319064889</v>
      </c>
      <c r="L72" s="187">
        <f t="shared" si="43"/>
        <v>49286.526655251902</v>
      </c>
      <c r="M72" s="187">
        <f t="shared" si="43"/>
        <v>35772.479023973145</v>
      </c>
      <c r="N72" s="187">
        <f t="shared" si="43"/>
        <v>24643.26332762594</v>
      </c>
      <c r="O72" s="187">
        <f t="shared" si="43"/>
        <v>11924.159674657696</v>
      </c>
      <c r="P72" s="187">
        <f t="shared" si="43"/>
        <v>0</v>
      </c>
    </row>
    <row r="73" spans="1:16" s="171" customFormat="1" ht="13.5" customHeight="1" outlineLevel="1">
      <c r="A73" s="173">
        <f t="shared" si="40"/>
        <v>2030</v>
      </c>
      <c r="B73" s="180" t="s">
        <v>244</v>
      </c>
      <c r="C73" s="181" t="s">
        <v>105</v>
      </c>
      <c r="D73" s="187">
        <f>SUM(E73:P73)</f>
        <v>12400331.117665727</v>
      </c>
      <c r="E73" s="187">
        <f t="shared" ref="E73:P73" si="44">E69+E72</f>
        <v>1102719.7885797364</v>
      </c>
      <c r="F73" s="187">
        <f t="shared" si="44"/>
        <v>1078473.9972412656</v>
      </c>
      <c r="G73" s="187">
        <f t="shared" si="44"/>
        <v>1078076.5252521103</v>
      </c>
      <c r="H73" s="187">
        <f t="shared" si="44"/>
        <v>1062575.1176750553</v>
      </c>
      <c r="I73" s="187">
        <f t="shared" si="44"/>
        <v>1053433.2619244843</v>
      </c>
      <c r="J73" s="187">
        <f t="shared" si="44"/>
        <v>1038726.7983257398</v>
      </c>
      <c r="K73" s="187">
        <f t="shared" si="44"/>
        <v>1028789.9985968583</v>
      </c>
      <c r="L73" s="187">
        <f t="shared" si="44"/>
        <v>1016468.3669330453</v>
      </c>
      <c r="M73" s="187">
        <f t="shared" si="44"/>
        <v>1002954.3193017666</v>
      </c>
      <c r="N73" s="187">
        <f t="shared" si="44"/>
        <v>991825.1036054194</v>
      </c>
      <c r="O73" s="187">
        <f t="shared" si="44"/>
        <v>979105.99995245121</v>
      </c>
      <c r="P73" s="187">
        <f t="shared" si="44"/>
        <v>967181.84027779347</v>
      </c>
    </row>
    <row r="74" spans="1:16" s="171" customFormat="1">
      <c r="B74" s="176"/>
      <c r="C74" s="177"/>
      <c r="D74" s="178">
        <f>D67+1</f>
        <v>2031</v>
      </c>
      <c r="E74" s="179" t="s">
        <v>226</v>
      </c>
      <c r="F74" s="179" t="s">
        <v>227</v>
      </c>
      <c r="G74" s="179" t="s">
        <v>228</v>
      </c>
      <c r="H74" s="179" t="s">
        <v>229</v>
      </c>
      <c r="I74" s="179" t="s">
        <v>230</v>
      </c>
      <c r="J74" s="179" t="s">
        <v>231</v>
      </c>
      <c r="K74" s="179" t="s">
        <v>232</v>
      </c>
      <c r="L74" s="179" t="s">
        <v>233</v>
      </c>
      <c r="M74" s="179" t="s">
        <v>234</v>
      </c>
      <c r="N74" s="179" t="s">
        <v>235</v>
      </c>
      <c r="O74" s="179" t="s">
        <v>236</v>
      </c>
      <c r="P74" s="179" t="s">
        <v>237</v>
      </c>
    </row>
    <row r="75" spans="1:16" s="171" customFormat="1" ht="13.5" hidden="1" customHeight="1" outlineLevel="1">
      <c r="B75" s="180" t="s">
        <v>238</v>
      </c>
      <c r="C75" s="181" t="s">
        <v>105</v>
      </c>
      <c r="D75" s="183">
        <f>SUM(E75:P75)</f>
        <v>0</v>
      </c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</row>
    <row r="76" spans="1:16" s="171" customFormat="1" ht="13.5" hidden="1" customHeight="1" outlineLevel="1">
      <c r="B76" s="180" t="s">
        <v>239</v>
      </c>
      <c r="C76" s="181" t="s">
        <v>105</v>
      </c>
      <c r="D76" s="188">
        <f>SUM(E76:P76)</f>
        <v>0</v>
      </c>
      <c r="E76" s="183"/>
      <c r="F76" s="183">
        <f>E76</f>
        <v>0</v>
      </c>
      <c r="G76" s="183">
        <f t="shared" ref="G76:O76" si="45">F76</f>
        <v>0</v>
      </c>
      <c r="H76" s="183">
        <f t="shared" si="45"/>
        <v>0</v>
      </c>
      <c r="I76" s="183">
        <f t="shared" si="45"/>
        <v>0</v>
      </c>
      <c r="J76" s="183">
        <f t="shared" si="45"/>
        <v>0</v>
      </c>
      <c r="K76" s="183">
        <f t="shared" si="45"/>
        <v>0</v>
      </c>
      <c r="L76" s="183">
        <f t="shared" si="45"/>
        <v>0</v>
      </c>
      <c r="M76" s="183">
        <f t="shared" si="45"/>
        <v>0</v>
      </c>
      <c r="N76" s="183">
        <f t="shared" si="45"/>
        <v>0</v>
      </c>
      <c r="O76" s="183">
        <f t="shared" si="45"/>
        <v>0</v>
      </c>
      <c r="P76" s="187">
        <f>O76</f>
        <v>0</v>
      </c>
    </row>
    <row r="77" spans="1:16" s="171" customFormat="1" ht="13.5" hidden="1" customHeight="1" outlineLevel="1">
      <c r="B77" s="180" t="s">
        <v>240</v>
      </c>
      <c r="C77" s="181" t="s">
        <v>105</v>
      </c>
      <c r="D77" s="184"/>
      <c r="E77" s="183">
        <f>IF(P70+E75-E76&lt;0,0,P70+E75-E76)</f>
        <v>0</v>
      </c>
      <c r="F77" s="183">
        <f>IF(E77+F75-F76&lt;0,0,E77+F75-F76)</f>
        <v>0</v>
      </c>
      <c r="G77" s="183">
        <f t="shared" ref="G77:O77" si="46">IF(F77+G75-G76&lt;0,0,F77+G75-G76)</f>
        <v>0</v>
      </c>
      <c r="H77" s="183">
        <f t="shared" si="46"/>
        <v>0</v>
      </c>
      <c r="I77" s="183">
        <f t="shared" si="46"/>
        <v>0</v>
      </c>
      <c r="J77" s="183">
        <f t="shared" si="46"/>
        <v>0</v>
      </c>
      <c r="K77" s="183">
        <f t="shared" si="46"/>
        <v>0</v>
      </c>
      <c r="L77" s="183">
        <f t="shared" si="46"/>
        <v>0</v>
      </c>
      <c r="M77" s="183">
        <f t="shared" si="46"/>
        <v>0</v>
      </c>
      <c r="N77" s="183">
        <f t="shared" si="46"/>
        <v>0</v>
      </c>
      <c r="O77" s="183">
        <f t="shared" si="46"/>
        <v>0</v>
      </c>
      <c r="P77" s="183">
        <f>IF(O77+P75-P76&lt;0,0,O77+P75-P76)</f>
        <v>0</v>
      </c>
    </row>
    <row r="78" spans="1:16" s="171" customFormat="1" ht="13.5" hidden="1" customHeight="1" outlineLevel="1">
      <c r="B78" s="180" t="s">
        <v>241</v>
      </c>
      <c r="C78" s="185" t="s">
        <v>242</v>
      </c>
      <c r="D78" s="184">
        <f>D71</f>
        <v>365</v>
      </c>
      <c r="E78" s="183">
        <v>31</v>
      </c>
      <c r="F78" s="183">
        <v>28</v>
      </c>
      <c r="G78" s="183">
        <v>31</v>
      </c>
      <c r="H78" s="183">
        <v>30</v>
      </c>
      <c r="I78" s="183">
        <v>31</v>
      </c>
      <c r="J78" s="183">
        <v>30</v>
      </c>
      <c r="K78" s="183">
        <v>31</v>
      </c>
      <c r="L78" s="183">
        <v>31</v>
      </c>
      <c r="M78" s="183">
        <v>30</v>
      </c>
      <c r="N78" s="183">
        <v>31</v>
      </c>
      <c r="O78" s="183">
        <v>30</v>
      </c>
      <c r="P78" s="183">
        <v>31</v>
      </c>
    </row>
    <row r="79" spans="1:16" s="171" customFormat="1" hidden="1" outlineLevel="1">
      <c r="B79" s="180" t="s">
        <v>243</v>
      </c>
      <c r="C79" s="181" t="s">
        <v>105</v>
      </c>
      <c r="D79" s="188">
        <f>SUM(E79:P79)</f>
        <v>0</v>
      </c>
      <c r="E79" s="187">
        <f t="shared" ref="E79:P79" si="47">E77*E78/$D$78*$D$7</f>
        <v>0</v>
      </c>
      <c r="F79" s="187">
        <f t="shared" si="47"/>
        <v>0</v>
      </c>
      <c r="G79" s="187">
        <f t="shared" si="47"/>
        <v>0</v>
      </c>
      <c r="H79" s="187">
        <f t="shared" si="47"/>
        <v>0</v>
      </c>
      <c r="I79" s="187">
        <f t="shared" si="47"/>
        <v>0</v>
      </c>
      <c r="J79" s="187">
        <f t="shared" si="47"/>
        <v>0</v>
      </c>
      <c r="K79" s="187">
        <f t="shared" si="47"/>
        <v>0</v>
      </c>
      <c r="L79" s="187">
        <f t="shared" si="47"/>
        <v>0</v>
      </c>
      <c r="M79" s="187">
        <f t="shared" si="47"/>
        <v>0</v>
      </c>
      <c r="N79" s="187">
        <f t="shared" si="47"/>
        <v>0</v>
      </c>
      <c r="O79" s="187">
        <f t="shared" si="47"/>
        <v>0</v>
      </c>
      <c r="P79" s="187">
        <f t="shared" si="47"/>
        <v>0</v>
      </c>
    </row>
    <row r="80" spans="1:16" s="171" customFormat="1" hidden="1" outlineLevel="1">
      <c r="B80" s="180" t="s">
        <v>244</v>
      </c>
      <c r="C80" s="181" t="s">
        <v>105</v>
      </c>
      <c r="D80" s="187">
        <f>SUM(E80:P80)</f>
        <v>0</v>
      </c>
      <c r="E80" s="187">
        <f t="shared" ref="E80:P80" si="48">E76+E79</f>
        <v>0</v>
      </c>
      <c r="F80" s="187">
        <f t="shared" si="48"/>
        <v>0</v>
      </c>
      <c r="G80" s="187">
        <f t="shared" si="48"/>
        <v>0</v>
      </c>
      <c r="H80" s="187">
        <f t="shared" si="48"/>
        <v>0</v>
      </c>
      <c r="I80" s="187">
        <f t="shared" si="48"/>
        <v>0</v>
      </c>
      <c r="J80" s="187">
        <f t="shared" si="48"/>
        <v>0</v>
      </c>
      <c r="K80" s="187">
        <f t="shared" si="48"/>
        <v>0</v>
      </c>
      <c r="L80" s="187">
        <f t="shared" si="48"/>
        <v>0</v>
      </c>
      <c r="M80" s="187">
        <f t="shared" si="48"/>
        <v>0</v>
      </c>
      <c r="N80" s="187">
        <f t="shared" si="48"/>
        <v>0</v>
      </c>
      <c r="O80" s="187">
        <f t="shared" si="48"/>
        <v>0</v>
      </c>
      <c r="P80" s="187">
        <f t="shared" si="48"/>
        <v>0</v>
      </c>
    </row>
    <row r="81" spans="2:16" s="171" customFormat="1" collapsed="1">
      <c r="B81" s="176"/>
      <c r="C81" s="177"/>
      <c r="D81" s="178">
        <f>D74+1</f>
        <v>2032</v>
      </c>
      <c r="E81" s="179" t="s">
        <v>226</v>
      </c>
      <c r="F81" s="179" t="s">
        <v>227</v>
      </c>
      <c r="G81" s="179" t="s">
        <v>228</v>
      </c>
      <c r="H81" s="179" t="s">
        <v>229</v>
      </c>
      <c r="I81" s="179" t="s">
        <v>230</v>
      </c>
      <c r="J81" s="179" t="s">
        <v>231</v>
      </c>
      <c r="K81" s="179" t="s">
        <v>232</v>
      </c>
      <c r="L81" s="179" t="s">
        <v>233</v>
      </c>
      <c r="M81" s="179" t="s">
        <v>234</v>
      </c>
      <c r="N81" s="179" t="s">
        <v>235</v>
      </c>
      <c r="O81" s="179" t="s">
        <v>236</v>
      </c>
      <c r="P81" s="179" t="s">
        <v>237</v>
      </c>
    </row>
    <row r="82" spans="2:16" s="171" customFormat="1" ht="13.5" hidden="1" customHeight="1" outlineLevel="1">
      <c r="B82" s="180" t="s">
        <v>238</v>
      </c>
      <c r="C82" s="181" t="s">
        <v>105</v>
      </c>
      <c r="D82" s="183">
        <f>SUM(E82:P82)</f>
        <v>0</v>
      </c>
      <c r="E82" s="183"/>
      <c r="F82" s="183"/>
      <c r="G82" s="183"/>
      <c r="H82" s="183"/>
      <c r="I82" s="183"/>
      <c r="J82" s="183"/>
      <c r="K82" s="183"/>
      <c r="L82" s="183"/>
      <c r="M82" s="183"/>
      <c r="N82" s="183"/>
      <c r="O82" s="183"/>
      <c r="P82" s="182"/>
    </row>
    <row r="83" spans="2:16" s="171" customFormat="1" ht="13.5" hidden="1" customHeight="1" outlineLevel="1">
      <c r="B83" s="180" t="s">
        <v>239</v>
      </c>
      <c r="C83" s="181" t="s">
        <v>105</v>
      </c>
      <c r="D83" s="188">
        <f>SUM(E83:P83)</f>
        <v>0</v>
      </c>
      <c r="E83" s="183">
        <f>P76</f>
        <v>0</v>
      </c>
      <c r="F83" s="183">
        <f>E83</f>
        <v>0</v>
      </c>
      <c r="G83" s="183">
        <f t="shared" ref="G83:P83" si="49">F83</f>
        <v>0</v>
      </c>
      <c r="H83" s="183">
        <f t="shared" si="49"/>
        <v>0</v>
      </c>
      <c r="I83" s="183">
        <f t="shared" si="49"/>
        <v>0</v>
      </c>
      <c r="J83" s="183">
        <f t="shared" si="49"/>
        <v>0</v>
      </c>
      <c r="K83" s="183">
        <f t="shared" si="49"/>
        <v>0</v>
      </c>
      <c r="L83" s="183">
        <f t="shared" si="49"/>
        <v>0</v>
      </c>
      <c r="M83" s="183">
        <f t="shared" si="49"/>
        <v>0</v>
      </c>
      <c r="N83" s="183">
        <f t="shared" si="49"/>
        <v>0</v>
      </c>
      <c r="O83" s="183">
        <f t="shared" si="49"/>
        <v>0</v>
      </c>
      <c r="P83" s="183">
        <f t="shared" si="49"/>
        <v>0</v>
      </c>
    </row>
    <row r="84" spans="2:16" s="171" customFormat="1" ht="13.5" hidden="1" customHeight="1" outlineLevel="1">
      <c r="B84" s="180" t="s">
        <v>240</v>
      </c>
      <c r="C84" s="181" t="s">
        <v>105</v>
      </c>
      <c r="D84" s="184"/>
      <c r="E84" s="183">
        <f>IF(P77+E82-E83&lt;0,0,P77+E82-E83)</f>
        <v>0</v>
      </c>
      <c r="F84" s="183">
        <f>IF(E84+F82-F83&lt;0,0,E84+F82-F83)</f>
        <v>0</v>
      </c>
      <c r="G84" s="183">
        <f t="shared" ref="G84:O84" si="50">IF(F84+G82-G83&lt;0,0,F84+G82-G83)</f>
        <v>0</v>
      </c>
      <c r="H84" s="183">
        <f t="shared" si="50"/>
        <v>0</v>
      </c>
      <c r="I84" s="183">
        <f t="shared" si="50"/>
        <v>0</v>
      </c>
      <c r="J84" s="183">
        <f t="shared" si="50"/>
        <v>0</v>
      </c>
      <c r="K84" s="183">
        <f t="shared" si="50"/>
        <v>0</v>
      </c>
      <c r="L84" s="183">
        <f t="shared" si="50"/>
        <v>0</v>
      </c>
      <c r="M84" s="183">
        <f t="shared" si="50"/>
        <v>0</v>
      </c>
      <c r="N84" s="183">
        <f t="shared" si="50"/>
        <v>0</v>
      </c>
      <c r="O84" s="183">
        <f t="shared" si="50"/>
        <v>0</v>
      </c>
      <c r="P84" s="183">
        <f>IF(O84+P82-P83&lt;0,0,O84+P82-P83)</f>
        <v>0</v>
      </c>
    </row>
    <row r="85" spans="2:16" s="171" customFormat="1" ht="13.5" hidden="1" customHeight="1" outlineLevel="1">
      <c r="B85" s="180" t="s">
        <v>241</v>
      </c>
      <c r="C85" s="185" t="s">
        <v>242</v>
      </c>
      <c r="D85" s="184">
        <v>366</v>
      </c>
      <c r="E85" s="183">
        <v>31</v>
      </c>
      <c r="F85" s="183">
        <v>29</v>
      </c>
      <c r="G85" s="183">
        <v>31</v>
      </c>
      <c r="H85" s="183">
        <v>30</v>
      </c>
      <c r="I85" s="183">
        <v>31</v>
      </c>
      <c r="J85" s="183">
        <v>30</v>
      </c>
      <c r="K85" s="183">
        <v>31</v>
      </c>
      <c r="L85" s="183">
        <v>31</v>
      </c>
      <c r="M85" s="183">
        <v>30</v>
      </c>
      <c r="N85" s="183">
        <v>31</v>
      </c>
      <c r="O85" s="183">
        <v>30</v>
      </c>
      <c r="P85" s="183">
        <v>31</v>
      </c>
    </row>
    <row r="86" spans="2:16" s="171" customFormat="1" hidden="1" outlineLevel="1">
      <c r="B86" s="180" t="s">
        <v>243</v>
      </c>
      <c r="C86" s="181" t="s">
        <v>105</v>
      </c>
      <c r="D86" s="188">
        <f>SUM(E86:P86)</f>
        <v>0</v>
      </c>
      <c r="E86" s="187">
        <f t="shared" ref="E86:P86" si="51">E84*E85/$D$78*$D$7</f>
        <v>0</v>
      </c>
      <c r="F86" s="187">
        <f t="shared" si="51"/>
        <v>0</v>
      </c>
      <c r="G86" s="187">
        <f t="shared" si="51"/>
        <v>0</v>
      </c>
      <c r="H86" s="187">
        <f t="shared" si="51"/>
        <v>0</v>
      </c>
      <c r="I86" s="187">
        <f t="shared" si="51"/>
        <v>0</v>
      </c>
      <c r="J86" s="187">
        <f t="shared" si="51"/>
        <v>0</v>
      </c>
      <c r="K86" s="187">
        <f t="shared" si="51"/>
        <v>0</v>
      </c>
      <c r="L86" s="187">
        <f t="shared" si="51"/>
        <v>0</v>
      </c>
      <c r="M86" s="187">
        <f t="shared" si="51"/>
        <v>0</v>
      </c>
      <c r="N86" s="187">
        <f t="shared" si="51"/>
        <v>0</v>
      </c>
      <c r="O86" s="187">
        <f t="shared" si="51"/>
        <v>0</v>
      </c>
      <c r="P86" s="187">
        <f t="shared" si="51"/>
        <v>0</v>
      </c>
    </row>
    <row r="87" spans="2:16" s="171" customFormat="1" hidden="1" outlineLevel="1">
      <c r="B87" s="180" t="s">
        <v>244</v>
      </c>
      <c r="C87" s="181" t="s">
        <v>105</v>
      </c>
      <c r="D87" s="187">
        <f>SUM(E87:P87)</f>
        <v>0</v>
      </c>
      <c r="E87" s="187">
        <f t="shared" ref="E87:P87" si="52">E83+E86</f>
        <v>0</v>
      </c>
      <c r="F87" s="187">
        <f t="shared" si="52"/>
        <v>0</v>
      </c>
      <c r="G87" s="187">
        <f t="shared" si="52"/>
        <v>0</v>
      </c>
      <c r="H87" s="187">
        <f t="shared" si="52"/>
        <v>0</v>
      </c>
      <c r="I87" s="187">
        <f t="shared" si="52"/>
        <v>0</v>
      </c>
      <c r="J87" s="187">
        <f t="shared" si="52"/>
        <v>0</v>
      </c>
      <c r="K87" s="187">
        <f t="shared" si="52"/>
        <v>0</v>
      </c>
      <c r="L87" s="187">
        <f t="shared" si="52"/>
        <v>0</v>
      </c>
      <c r="M87" s="187">
        <f t="shared" si="52"/>
        <v>0</v>
      </c>
      <c r="N87" s="187">
        <f t="shared" si="52"/>
        <v>0</v>
      </c>
      <c r="O87" s="187">
        <f t="shared" si="52"/>
        <v>0</v>
      </c>
      <c r="P87" s="187">
        <f t="shared" si="52"/>
        <v>0</v>
      </c>
    </row>
    <row r="88" spans="2:16" s="171" customFormat="1" collapsed="1">
      <c r="B88" s="176">
        <f>B81</f>
        <v>0</v>
      </c>
      <c r="C88" s="177"/>
      <c r="D88" s="178">
        <f>D81+1</f>
        <v>2033</v>
      </c>
      <c r="E88" s="179" t="s">
        <v>226</v>
      </c>
      <c r="F88" s="179" t="s">
        <v>227</v>
      </c>
      <c r="G88" s="179" t="s">
        <v>228</v>
      </c>
      <c r="H88" s="179" t="s">
        <v>229</v>
      </c>
      <c r="I88" s="179" t="s">
        <v>230</v>
      </c>
      <c r="J88" s="179" t="s">
        <v>231</v>
      </c>
      <c r="K88" s="179" t="s">
        <v>232</v>
      </c>
      <c r="L88" s="179" t="s">
        <v>233</v>
      </c>
      <c r="M88" s="179" t="s">
        <v>234</v>
      </c>
      <c r="N88" s="179" t="s">
        <v>235</v>
      </c>
      <c r="O88" s="179" t="s">
        <v>236</v>
      </c>
      <c r="P88" s="179" t="s">
        <v>237</v>
      </c>
    </row>
    <row r="89" spans="2:16" s="171" customFormat="1" ht="13.5" hidden="1" customHeight="1" outlineLevel="1">
      <c r="B89" s="180" t="s">
        <v>238</v>
      </c>
      <c r="C89" s="181" t="s">
        <v>105</v>
      </c>
      <c r="D89" s="183">
        <f>SUM(E89:P89)</f>
        <v>0</v>
      </c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2"/>
    </row>
    <row r="90" spans="2:16" s="171" customFormat="1" ht="13.5" hidden="1" customHeight="1" outlineLevel="1">
      <c r="B90" s="180" t="s">
        <v>239</v>
      </c>
      <c r="C90" s="181" t="s">
        <v>105</v>
      </c>
      <c r="D90" s="188">
        <f>SUM(E90:P90)</f>
        <v>0</v>
      </c>
      <c r="E90" s="183">
        <f>P83</f>
        <v>0</v>
      </c>
      <c r="F90" s="183">
        <f>E90</f>
        <v>0</v>
      </c>
      <c r="G90" s="183">
        <f t="shared" ref="G90:P90" si="53">F90</f>
        <v>0</v>
      </c>
      <c r="H90" s="183">
        <f t="shared" si="53"/>
        <v>0</v>
      </c>
      <c r="I90" s="183">
        <f t="shared" si="53"/>
        <v>0</v>
      </c>
      <c r="J90" s="183">
        <f t="shared" si="53"/>
        <v>0</v>
      </c>
      <c r="K90" s="183">
        <f t="shared" si="53"/>
        <v>0</v>
      </c>
      <c r="L90" s="183">
        <f t="shared" si="53"/>
        <v>0</v>
      </c>
      <c r="M90" s="183">
        <f t="shared" si="53"/>
        <v>0</v>
      </c>
      <c r="N90" s="183">
        <f t="shared" si="53"/>
        <v>0</v>
      </c>
      <c r="O90" s="183">
        <f t="shared" si="53"/>
        <v>0</v>
      </c>
      <c r="P90" s="183">
        <f t="shared" si="53"/>
        <v>0</v>
      </c>
    </row>
    <row r="91" spans="2:16" s="171" customFormat="1" ht="13.5" hidden="1" customHeight="1" outlineLevel="1">
      <c r="B91" s="180" t="s">
        <v>240</v>
      </c>
      <c r="C91" s="181" t="s">
        <v>105</v>
      </c>
      <c r="D91" s="184"/>
      <c r="E91" s="183">
        <f>IF(P84+E89-E90&lt;0,0,P84+E89-E90)</f>
        <v>0</v>
      </c>
      <c r="F91" s="183">
        <f>IF(E91+F89-F90&lt;0,0,E91+F89-F90)</f>
        <v>0</v>
      </c>
      <c r="G91" s="183">
        <f t="shared" ref="G91:N91" si="54">IF(F91+G89-G90&lt;0,0,F91+G89-G90)</f>
        <v>0</v>
      </c>
      <c r="H91" s="183">
        <f t="shared" si="54"/>
        <v>0</v>
      </c>
      <c r="I91" s="183">
        <f t="shared" si="54"/>
        <v>0</v>
      </c>
      <c r="J91" s="183">
        <f t="shared" si="54"/>
        <v>0</v>
      </c>
      <c r="K91" s="183">
        <f t="shared" si="54"/>
        <v>0</v>
      </c>
      <c r="L91" s="183">
        <f t="shared" si="54"/>
        <v>0</v>
      </c>
      <c r="M91" s="183">
        <f t="shared" si="54"/>
        <v>0</v>
      </c>
      <c r="N91" s="183">
        <f t="shared" si="54"/>
        <v>0</v>
      </c>
      <c r="O91" s="183">
        <f>IF(N91+O89-O90&lt;0,0,N91+O89-O90)</f>
        <v>0</v>
      </c>
      <c r="P91" s="183">
        <f>IF(O91+P89-P90&lt;0,0,O91+P89-P90)</f>
        <v>0</v>
      </c>
    </row>
    <row r="92" spans="2:16" s="171" customFormat="1" ht="13.5" hidden="1" customHeight="1" outlineLevel="1">
      <c r="B92" s="180" t="s">
        <v>241</v>
      </c>
      <c r="C92" s="185" t="s">
        <v>242</v>
      </c>
      <c r="D92" s="184">
        <v>365</v>
      </c>
      <c r="E92" s="183">
        <v>31</v>
      </c>
      <c r="F92" s="183">
        <v>28</v>
      </c>
      <c r="G92" s="183">
        <v>31</v>
      </c>
      <c r="H92" s="183">
        <v>30</v>
      </c>
      <c r="I92" s="183">
        <v>31</v>
      </c>
      <c r="J92" s="183">
        <v>30</v>
      </c>
      <c r="K92" s="183">
        <v>31</v>
      </c>
      <c r="L92" s="183">
        <v>31</v>
      </c>
      <c r="M92" s="183">
        <v>30</v>
      </c>
      <c r="N92" s="183">
        <v>31</v>
      </c>
      <c r="O92" s="183">
        <v>30</v>
      </c>
      <c r="P92" s="183">
        <v>31</v>
      </c>
    </row>
    <row r="93" spans="2:16" s="171" customFormat="1" hidden="1" outlineLevel="1">
      <c r="B93" s="180" t="s">
        <v>243</v>
      </c>
      <c r="C93" s="181" t="s">
        <v>105</v>
      </c>
      <c r="D93" s="188">
        <f>SUM(E93:P93)</f>
        <v>0</v>
      </c>
      <c r="E93" s="187">
        <f t="shared" ref="E93:P93" si="55">E91*E92/$D$78*$D$7</f>
        <v>0</v>
      </c>
      <c r="F93" s="187">
        <f t="shared" si="55"/>
        <v>0</v>
      </c>
      <c r="G93" s="187">
        <f t="shared" si="55"/>
        <v>0</v>
      </c>
      <c r="H93" s="187">
        <f t="shared" si="55"/>
        <v>0</v>
      </c>
      <c r="I93" s="187">
        <f t="shared" si="55"/>
        <v>0</v>
      </c>
      <c r="J93" s="187">
        <f t="shared" si="55"/>
        <v>0</v>
      </c>
      <c r="K93" s="187">
        <f t="shared" si="55"/>
        <v>0</v>
      </c>
      <c r="L93" s="187">
        <f t="shared" si="55"/>
        <v>0</v>
      </c>
      <c r="M93" s="187">
        <f t="shared" si="55"/>
        <v>0</v>
      </c>
      <c r="N93" s="187">
        <f t="shared" si="55"/>
        <v>0</v>
      </c>
      <c r="O93" s="187">
        <f t="shared" si="55"/>
        <v>0</v>
      </c>
      <c r="P93" s="187">
        <f t="shared" si="55"/>
        <v>0</v>
      </c>
    </row>
    <row r="94" spans="2:16" s="171" customFormat="1" hidden="1" outlineLevel="1">
      <c r="B94" s="180" t="s">
        <v>244</v>
      </c>
      <c r="C94" s="181" t="s">
        <v>105</v>
      </c>
      <c r="D94" s="187">
        <f>SUM(E94:P94)</f>
        <v>0</v>
      </c>
      <c r="E94" s="187">
        <f t="shared" ref="E94:P94" si="56">E90+E93</f>
        <v>0</v>
      </c>
      <c r="F94" s="187">
        <f t="shared" si="56"/>
        <v>0</v>
      </c>
      <c r="G94" s="187">
        <f t="shared" si="56"/>
        <v>0</v>
      </c>
      <c r="H94" s="187">
        <f t="shared" si="56"/>
        <v>0</v>
      </c>
      <c r="I94" s="187">
        <f t="shared" si="56"/>
        <v>0</v>
      </c>
      <c r="J94" s="187">
        <f t="shared" si="56"/>
        <v>0</v>
      </c>
      <c r="K94" s="187">
        <f t="shared" si="56"/>
        <v>0</v>
      </c>
      <c r="L94" s="187">
        <f t="shared" si="56"/>
        <v>0</v>
      </c>
      <c r="M94" s="187">
        <f t="shared" si="56"/>
        <v>0</v>
      </c>
      <c r="N94" s="187">
        <f t="shared" si="56"/>
        <v>0</v>
      </c>
      <c r="O94" s="187">
        <f t="shared" si="56"/>
        <v>0</v>
      </c>
      <c r="P94" s="187">
        <f t="shared" si="56"/>
        <v>0</v>
      </c>
    </row>
    <row r="95" spans="2:16" s="171" customFormat="1" collapsed="1">
      <c r="B95" s="176">
        <f>B88</f>
        <v>0</v>
      </c>
      <c r="C95" s="177"/>
      <c r="D95" s="178">
        <f>D88+1</f>
        <v>2034</v>
      </c>
      <c r="E95" s="179" t="s">
        <v>226</v>
      </c>
      <c r="F95" s="179" t="s">
        <v>227</v>
      </c>
      <c r="G95" s="179" t="s">
        <v>228</v>
      </c>
      <c r="H95" s="179" t="s">
        <v>229</v>
      </c>
      <c r="I95" s="179" t="s">
        <v>230</v>
      </c>
      <c r="J95" s="179" t="s">
        <v>231</v>
      </c>
      <c r="K95" s="179" t="s">
        <v>232</v>
      </c>
      <c r="L95" s="179" t="s">
        <v>233</v>
      </c>
      <c r="M95" s="179" t="s">
        <v>234</v>
      </c>
      <c r="N95" s="179" t="s">
        <v>235</v>
      </c>
      <c r="O95" s="179" t="s">
        <v>236</v>
      </c>
      <c r="P95" s="179" t="s">
        <v>237</v>
      </c>
    </row>
    <row r="96" spans="2:16" s="171" customFormat="1" ht="13.5" hidden="1" customHeight="1" outlineLevel="1">
      <c r="B96" s="180" t="s">
        <v>238</v>
      </c>
      <c r="C96" s="181" t="s">
        <v>105</v>
      </c>
      <c r="D96" s="183">
        <f>SUM(E96:P96)</f>
        <v>0</v>
      </c>
      <c r="E96" s="183"/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2"/>
    </row>
    <row r="97" spans="2:16" s="171" customFormat="1" ht="13.5" hidden="1" customHeight="1" outlineLevel="1">
      <c r="B97" s="180" t="s">
        <v>239</v>
      </c>
      <c r="C97" s="181" t="s">
        <v>105</v>
      </c>
      <c r="D97" s="188">
        <f>SUM(E97:P97)</f>
        <v>0</v>
      </c>
      <c r="E97" s="183">
        <f>P90</f>
        <v>0</v>
      </c>
      <c r="F97" s="183">
        <f>E97</f>
        <v>0</v>
      </c>
      <c r="G97" s="183">
        <f t="shared" ref="G97:P97" si="57">F97</f>
        <v>0</v>
      </c>
      <c r="H97" s="183">
        <f t="shared" si="57"/>
        <v>0</v>
      </c>
      <c r="I97" s="183">
        <f t="shared" si="57"/>
        <v>0</v>
      </c>
      <c r="J97" s="183">
        <f t="shared" si="57"/>
        <v>0</v>
      </c>
      <c r="K97" s="183">
        <f t="shared" si="57"/>
        <v>0</v>
      </c>
      <c r="L97" s="183">
        <f t="shared" si="57"/>
        <v>0</v>
      </c>
      <c r="M97" s="183">
        <f t="shared" si="57"/>
        <v>0</v>
      </c>
      <c r="N97" s="183">
        <f t="shared" si="57"/>
        <v>0</v>
      </c>
      <c r="O97" s="183">
        <f t="shared" si="57"/>
        <v>0</v>
      </c>
      <c r="P97" s="183">
        <f t="shared" si="57"/>
        <v>0</v>
      </c>
    </row>
    <row r="98" spans="2:16" s="171" customFormat="1" ht="13.5" hidden="1" customHeight="1" outlineLevel="1">
      <c r="B98" s="180" t="s">
        <v>240</v>
      </c>
      <c r="C98" s="181" t="s">
        <v>105</v>
      </c>
      <c r="D98" s="184"/>
      <c r="E98" s="183">
        <f>IF(P91+E96-E97&lt;0,0,P91+E96-E97)</f>
        <v>0</v>
      </c>
      <c r="F98" s="183">
        <f>IF(E98+F96-F97&lt;0,0,E98+F96-F97)</f>
        <v>0</v>
      </c>
      <c r="G98" s="183">
        <f t="shared" ref="G98:O98" si="58">IF(F98+G96-G97&lt;0,0,F98+G96-G97)</f>
        <v>0</v>
      </c>
      <c r="H98" s="183">
        <f t="shared" si="58"/>
        <v>0</v>
      </c>
      <c r="I98" s="183">
        <f t="shared" si="58"/>
        <v>0</v>
      </c>
      <c r="J98" s="183">
        <f t="shared" si="58"/>
        <v>0</v>
      </c>
      <c r="K98" s="183">
        <f t="shared" si="58"/>
        <v>0</v>
      </c>
      <c r="L98" s="183">
        <f t="shared" si="58"/>
        <v>0</v>
      </c>
      <c r="M98" s="183">
        <f t="shared" si="58"/>
        <v>0</v>
      </c>
      <c r="N98" s="183">
        <f t="shared" si="58"/>
        <v>0</v>
      </c>
      <c r="O98" s="183">
        <f t="shared" si="58"/>
        <v>0</v>
      </c>
      <c r="P98" s="183">
        <f>IF(O98+P96-P97&lt;0,0,O98+P96-P97)</f>
        <v>0</v>
      </c>
    </row>
    <row r="99" spans="2:16" s="171" customFormat="1" ht="13.5" hidden="1" customHeight="1" outlineLevel="1">
      <c r="B99" s="180" t="s">
        <v>241</v>
      </c>
      <c r="C99" s="185" t="s">
        <v>242</v>
      </c>
      <c r="D99" s="184">
        <v>365</v>
      </c>
      <c r="E99" s="183">
        <v>31</v>
      </c>
      <c r="F99" s="183">
        <v>28</v>
      </c>
      <c r="G99" s="183">
        <v>31</v>
      </c>
      <c r="H99" s="183">
        <v>30</v>
      </c>
      <c r="I99" s="183">
        <v>31</v>
      </c>
      <c r="J99" s="183">
        <v>30</v>
      </c>
      <c r="K99" s="183">
        <v>31</v>
      </c>
      <c r="L99" s="183">
        <v>31</v>
      </c>
      <c r="M99" s="183">
        <v>30</v>
      </c>
      <c r="N99" s="183">
        <v>31</v>
      </c>
      <c r="O99" s="183">
        <v>30</v>
      </c>
      <c r="P99" s="183">
        <v>31</v>
      </c>
    </row>
    <row r="100" spans="2:16" s="171" customFormat="1" hidden="1" outlineLevel="1">
      <c r="B100" s="180" t="s">
        <v>243</v>
      </c>
      <c r="C100" s="181" t="s">
        <v>105</v>
      </c>
      <c r="D100" s="188">
        <f>SUM(E100:P100)</f>
        <v>0</v>
      </c>
      <c r="E100" s="187">
        <f t="shared" ref="E100:P100" si="59">E98*E99/$D$78*$D$7</f>
        <v>0</v>
      </c>
      <c r="F100" s="187">
        <f t="shared" si="59"/>
        <v>0</v>
      </c>
      <c r="G100" s="187">
        <f t="shared" si="59"/>
        <v>0</v>
      </c>
      <c r="H100" s="187">
        <f t="shared" si="59"/>
        <v>0</v>
      </c>
      <c r="I100" s="187">
        <f t="shared" si="59"/>
        <v>0</v>
      </c>
      <c r="J100" s="187">
        <f t="shared" si="59"/>
        <v>0</v>
      </c>
      <c r="K100" s="187">
        <f t="shared" si="59"/>
        <v>0</v>
      </c>
      <c r="L100" s="187">
        <f t="shared" si="59"/>
        <v>0</v>
      </c>
      <c r="M100" s="187">
        <f t="shared" si="59"/>
        <v>0</v>
      </c>
      <c r="N100" s="187">
        <f t="shared" si="59"/>
        <v>0</v>
      </c>
      <c r="O100" s="187">
        <f t="shared" si="59"/>
        <v>0</v>
      </c>
      <c r="P100" s="187">
        <f t="shared" si="59"/>
        <v>0</v>
      </c>
    </row>
    <row r="101" spans="2:16" s="171" customFormat="1" hidden="1" outlineLevel="1">
      <c r="B101" s="180" t="s">
        <v>244</v>
      </c>
      <c r="C101" s="181" t="s">
        <v>105</v>
      </c>
      <c r="D101" s="187">
        <f>SUM(E101:P101)</f>
        <v>0</v>
      </c>
      <c r="E101" s="187">
        <f t="shared" ref="E101:P101" si="60">E97+E100</f>
        <v>0</v>
      </c>
      <c r="F101" s="187">
        <f t="shared" si="60"/>
        <v>0</v>
      </c>
      <c r="G101" s="187">
        <f t="shared" si="60"/>
        <v>0</v>
      </c>
      <c r="H101" s="187">
        <f t="shared" si="60"/>
        <v>0</v>
      </c>
      <c r="I101" s="187">
        <f t="shared" si="60"/>
        <v>0</v>
      </c>
      <c r="J101" s="187">
        <f t="shared" si="60"/>
        <v>0</v>
      </c>
      <c r="K101" s="187">
        <f t="shared" si="60"/>
        <v>0</v>
      </c>
      <c r="L101" s="187">
        <f t="shared" si="60"/>
        <v>0</v>
      </c>
      <c r="M101" s="187">
        <f t="shared" si="60"/>
        <v>0</v>
      </c>
      <c r="N101" s="187">
        <f t="shared" si="60"/>
        <v>0</v>
      </c>
      <c r="O101" s="187">
        <f t="shared" si="60"/>
        <v>0</v>
      </c>
      <c r="P101" s="187">
        <f t="shared" si="60"/>
        <v>0</v>
      </c>
    </row>
    <row r="102" spans="2:16" s="171" customFormat="1" collapsed="1">
      <c r="B102" s="176">
        <f>B95</f>
        <v>0</v>
      </c>
      <c r="C102" s="177"/>
      <c r="D102" s="178">
        <f>D95+1</f>
        <v>2035</v>
      </c>
      <c r="E102" s="179" t="s">
        <v>226</v>
      </c>
      <c r="F102" s="179" t="s">
        <v>227</v>
      </c>
      <c r="G102" s="179" t="s">
        <v>228</v>
      </c>
      <c r="H102" s="179" t="s">
        <v>229</v>
      </c>
      <c r="I102" s="179" t="s">
        <v>230</v>
      </c>
      <c r="J102" s="179" t="s">
        <v>231</v>
      </c>
      <c r="K102" s="179" t="s">
        <v>232</v>
      </c>
      <c r="L102" s="179" t="s">
        <v>233</v>
      </c>
      <c r="M102" s="179" t="s">
        <v>234</v>
      </c>
      <c r="N102" s="179" t="s">
        <v>235</v>
      </c>
      <c r="O102" s="179" t="s">
        <v>236</v>
      </c>
      <c r="P102" s="179" t="s">
        <v>237</v>
      </c>
    </row>
    <row r="103" spans="2:16" s="171" customFormat="1" ht="13.5" hidden="1" customHeight="1" outlineLevel="1">
      <c r="B103" s="180" t="s">
        <v>238</v>
      </c>
      <c r="C103" s="181" t="s">
        <v>105</v>
      </c>
      <c r="D103" s="183">
        <f>SUM(E103:P103)</f>
        <v>0</v>
      </c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2"/>
    </row>
    <row r="104" spans="2:16" s="171" customFormat="1" ht="13.5" hidden="1" customHeight="1" outlineLevel="1">
      <c r="B104" s="180" t="s">
        <v>239</v>
      </c>
      <c r="C104" s="181" t="s">
        <v>105</v>
      </c>
      <c r="D104" s="188">
        <f>SUM(E104:P104)</f>
        <v>0</v>
      </c>
      <c r="E104" s="183">
        <f>P97</f>
        <v>0</v>
      </c>
      <c r="F104" s="183">
        <f>E104</f>
        <v>0</v>
      </c>
      <c r="G104" s="183">
        <f t="shared" ref="G104:P104" si="61">F104</f>
        <v>0</v>
      </c>
      <c r="H104" s="183">
        <f t="shared" si="61"/>
        <v>0</v>
      </c>
      <c r="I104" s="183">
        <f t="shared" si="61"/>
        <v>0</v>
      </c>
      <c r="J104" s="183">
        <f t="shared" si="61"/>
        <v>0</v>
      </c>
      <c r="K104" s="183">
        <f t="shared" si="61"/>
        <v>0</v>
      </c>
      <c r="L104" s="183">
        <f t="shared" si="61"/>
        <v>0</v>
      </c>
      <c r="M104" s="183">
        <f t="shared" si="61"/>
        <v>0</v>
      </c>
      <c r="N104" s="183">
        <f t="shared" si="61"/>
        <v>0</v>
      </c>
      <c r="O104" s="183">
        <f t="shared" si="61"/>
        <v>0</v>
      </c>
      <c r="P104" s="183">
        <f t="shared" si="61"/>
        <v>0</v>
      </c>
    </row>
    <row r="105" spans="2:16" s="171" customFormat="1" ht="13.5" hidden="1" customHeight="1" outlineLevel="1">
      <c r="B105" s="180" t="s">
        <v>240</v>
      </c>
      <c r="C105" s="181" t="s">
        <v>105</v>
      </c>
      <c r="D105" s="184"/>
      <c r="E105" s="183">
        <f>IF(P98+E103-E104&lt;0,0,P98+E103-E104)</f>
        <v>0</v>
      </c>
      <c r="F105" s="183">
        <f>IF(E105+F103-F104&lt;0,0,E105+F103-F104)</f>
        <v>0</v>
      </c>
      <c r="G105" s="183">
        <f t="shared" ref="G105:O105" si="62">IF(F105+G103-G104&lt;0,0,F105+G103-G104)</f>
        <v>0</v>
      </c>
      <c r="H105" s="183">
        <f t="shared" si="62"/>
        <v>0</v>
      </c>
      <c r="I105" s="183">
        <f t="shared" si="62"/>
        <v>0</v>
      </c>
      <c r="J105" s="183">
        <f t="shared" si="62"/>
        <v>0</v>
      </c>
      <c r="K105" s="183">
        <f t="shared" si="62"/>
        <v>0</v>
      </c>
      <c r="L105" s="183">
        <f t="shared" si="62"/>
        <v>0</v>
      </c>
      <c r="M105" s="183">
        <f t="shared" si="62"/>
        <v>0</v>
      </c>
      <c r="N105" s="183">
        <f t="shared" si="62"/>
        <v>0</v>
      </c>
      <c r="O105" s="183">
        <f t="shared" si="62"/>
        <v>0</v>
      </c>
      <c r="P105" s="183">
        <f>IF(O105+P103-P104&lt;0,0,O105+P103-P104)</f>
        <v>0</v>
      </c>
    </row>
    <row r="106" spans="2:16" s="171" customFormat="1" ht="13.5" hidden="1" customHeight="1" outlineLevel="1">
      <c r="B106" s="180" t="s">
        <v>241</v>
      </c>
      <c r="C106" s="185" t="s">
        <v>242</v>
      </c>
      <c r="D106" s="184">
        <v>365</v>
      </c>
      <c r="E106" s="183">
        <v>31</v>
      </c>
      <c r="F106" s="183">
        <v>28</v>
      </c>
      <c r="G106" s="183">
        <v>31</v>
      </c>
      <c r="H106" s="183">
        <v>30</v>
      </c>
      <c r="I106" s="183">
        <v>31</v>
      </c>
      <c r="J106" s="183">
        <v>30</v>
      </c>
      <c r="K106" s="183">
        <v>31</v>
      </c>
      <c r="L106" s="183">
        <v>31</v>
      </c>
      <c r="M106" s="183">
        <v>30</v>
      </c>
      <c r="N106" s="183">
        <v>31</v>
      </c>
      <c r="O106" s="183">
        <v>30</v>
      </c>
      <c r="P106" s="183">
        <v>31</v>
      </c>
    </row>
    <row r="107" spans="2:16" s="171" customFormat="1" hidden="1" outlineLevel="1">
      <c r="B107" s="180" t="s">
        <v>243</v>
      </c>
      <c r="C107" s="181" t="s">
        <v>105</v>
      </c>
      <c r="D107" s="188">
        <f>SUM(E107:P107)</f>
        <v>0</v>
      </c>
      <c r="E107" s="187">
        <f t="shared" ref="E107:P107" si="63">E105*E106/$D$78*$D$7</f>
        <v>0</v>
      </c>
      <c r="F107" s="187">
        <f t="shared" si="63"/>
        <v>0</v>
      </c>
      <c r="G107" s="187">
        <f t="shared" si="63"/>
        <v>0</v>
      </c>
      <c r="H107" s="187">
        <f t="shared" si="63"/>
        <v>0</v>
      </c>
      <c r="I107" s="187">
        <f t="shared" si="63"/>
        <v>0</v>
      </c>
      <c r="J107" s="187">
        <f t="shared" si="63"/>
        <v>0</v>
      </c>
      <c r="K107" s="187">
        <f t="shared" si="63"/>
        <v>0</v>
      </c>
      <c r="L107" s="187">
        <f t="shared" si="63"/>
        <v>0</v>
      </c>
      <c r="M107" s="187">
        <f t="shared" si="63"/>
        <v>0</v>
      </c>
      <c r="N107" s="187">
        <f t="shared" si="63"/>
        <v>0</v>
      </c>
      <c r="O107" s="187">
        <f t="shared" si="63"/>
        <v>0</v>
      </c>
      <c r="P107" s="187">
        <f t="shared" si="63"/>
        <v>0</v>
      </c>
    </row>
    <row r="108" spans="2:16" s="171" customFormat="1" hidden="1" outlineLevel="1">
      <c r="B108" s="180" t="s">
        <v>244</v>
      </c>
      <c r="C108" s="181" t="s">
        <v>105</v>
      </c>
      <c r="D108" s="187">
        <f>SUM(E108:P108)</f>
        <v>0</v>
      </c>
      <c r="E108" s="187">
        <f t="shared" ref="E108:P108" si="64">E104+E107</f>
        <v>0</v>
      </c>
      <c r="F108" s="187">
        <f t="shared" si="64"/>
        <v>0</v>
      </c>
      <c r="G108" s="187">
        <f t="shared" si="64"/>
        <v>0</v>
      </c>
      <c r="H108" s="187">
        <f t="shared" si="64"/>
        <v>0</v>
      </c>
      <c r="I108" s="187">
        <f t="shared" si="64"/>
        <v>0</v>
      </c>
      <c r="J108" s="187">
        <f t="shared" si="64"/>
        <v>0</v>
      </c>
      <c r="K108" s="187">
        <f t="shared" si="64"/>
        <v>0</v>
      </c>
      <c r="L108" s="187">
        <f t="shared" si="64"/>
        <v>0</v>
      </c>
      <c r="M108" s="187">
        <f t="shared" si="64"/>
        <v>0</v>
      </c>
      <c r="N108" s="187">
        <f t="shared" si="64"/>
        <v>0</v>
      </c>
      <c r="O108" s="187">
        <f t="shared" si="64"/>
        <v>0</v>
      </c>
      <c r="P108" s="187">
        <f t="shared" si="64"/>
        <v>0</v>
      </c>
    </row>
    <row r="109" spans="2:16" s="171" customFormat="1" collapsed="1">
      <c r="B109" s="176">
        <f>B102</f>
        <v>0</v>
      </c>
      <c r="C109" s="177"/>
      <c r="D109" s="178">
        <f>D102+1</f>
        <v>2036</v>
      </c>
      <c r="E109" s="179" t="s">
        <v>226</v>
      </c>
      <c r="F109" s="179" t="s">
        <v>227</v>
      </c>
      <c r="G109" s="179" t="s">
        <v>228</v>
      </c>
      <c r="H109" s="179" t="s">
        <v>229</v>
      </c>
      <c r="I109" s="179" t="s">
        <v>230</v>
      </c>
      <c r="J109" s="179" t="s">
        <v>231</v>
      </c>
      <c r="K109" s="179" t="s">
        <v>232</v>
      </c>
      <c r="L109" s="179" t="s">
        <v>233</v>
      </c>
      <c r="M109" s="179" t="s">
        <v>234</v>
      </c>
      <c r="N109" s="179" t="s">
        <v>235</v>
      </c>
      <c r="O109" s="179" t="s">
        <v>236</v>
      </c>
      <c r="P109" s="179" t="s">
        <v>237</v>
      </c>
    </row>
    <row r="110" spans="2:16" s="171" customFormat="1" ht="13.5" hidden="1" customHeight="1" outlineLevel="1">
      <c r="B110" s="180" t="s">
        <v>238</v>
      </c>
      <c r="C110" s="181" t="s">
        <v>105</v>
      </c>
      <c r="D110" s="183">
        <f>SUM(E110:P110)</f>
        <v>0</v>
      </c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  <c r="O110" s="183"/>
      <c r="P110" s="182"/>
    </row>
    <row r="111" spans="2:16" s="171" customFormat="1" ht="13.5" hidden="1" customHeight="1" outlineLevel="1">
      <c r="B111" s="180" t="s">
        <v>239</v>
      </c>
      <c r="C111" s="181" t="s">
        <v>105</v>
      </c>
      <c r="D111" s="188">
        <f>SUM(E111:P111)</f>
        <v>0</v>
      </c>
      <c r="E111" s="183">
        <f>P104</f>
        <v>0</v>
      </c>
      <c r="F111" s="183">
        <f>E111</f>
        <v>0</v>
      </c>
      <c r="G111" s="183">
        <f t="shared" ref="G111:P111" si="65">F111</f>
        <v>0</v>
      </c>
      <c r="H111" s="183">
        <f t="shared" si="65"/>
        <v>0</v>
      </c>
      <c r="I111" s="183">
        <f t="shared" si="65"/>
        <v>0</v>
      </c>
      <c r="J111" s="183">
        <f t="shared" si="65"/>
        <v>0</v>
      </c>
      <c r="K111" s="183">
        <f t="shared" si="65"/>
        <v>0</v>
      </c>
      <c r="L111" s="183">
        <f t="shared" si="65"/>
        <v>0</v>
      </c>
      <c r="M111" s="183">
        <f t="shared" si="65"/>
        <v>0</v>
      </c>
      <c r="N111" s="183">
        <f t="shared" si="65"/>
        <v>0</v>
      </c>
      <c r="O111" s="183">
        <f t="shared" si="65"/>
        <v>0</v>
      </c>
      <c r="P111" s="183">
        <f t="shared" si="65"/>
        <v>0</v>
      </c>
    </row>
    <row r="112" spans="2:16" s="171" customFormat="1" ht="13.5" hidden="1" customHeight="1" outlineLevel="1">
      <c r="B112" s="180" t="s">
        <v>240</v>
      </c>
      <c r="C112" s="181" t="s">
        <v>105</v>
      </c>
      <c r="D112" s="184"/>
      <c r="E112" s="183">
        <f>IF(P105+E110-E111&lt;0,0,P105+E110-E111)</f>
        <v>0</v>
      </c>
      <c r="F112" s="183">
        <f>IF(E112+F110-F111&lt;0,0,E112+F110-F111)</f>
        <v>0</v>
      </c>
      <c r="G112" s="183">
        <f t="shared" ref="G112:O112" si="66">IF(F112+G110-G111&lt;0,0,F112+G110-G111)</f>
        <v>0</v>
      </c>
      <c r="H112" s="183">
        <f t="shared" si="66"/>
        <v>0</v>
      </c>
      <c r="I112" s="183">
        <f t="shared" si="66"/>
        <v>0</v>
      </c>
      <c r="J112" s="183">
        <f t="shared" si="66"/>
        <v>0</v>
      </c>
      <c r="K112" s="183">
        <f t="shared" si="66"/>
        <v>0</v>
      </c>
      <c r="L112" s="183">
        <f t="shared" si="66"/>
        <v>0</v>
      </c>
      <c r="M112" s="183">
        <f t="shared" si="66"/>
        <v>0</v>
      </c>
      <c r="N112" s="183">
        <f t="shared" si="66"/>
        <v>0</v>
      </c>
      <c r="O112" s="183">
        <f t="shared" si="66"/>
        <v>0</v>
      </c>
      <c r="P112" s="183">
        <f>IF(O112+P110-P111&lt;0,0,O112+P110-P111)</f>
        <v>0</v>
      </c>
    </row>
    <row r="113" spans="2:16" s="171" customFormat="1" ht="13.5" hidden="1" customHeight="1" outlineLevel="1">
      <c r="B113" s="180" t="s">
        <v>241</v>
      </c>
      <c r="C113" s="185" t="s">
        <v>242</v>
      </c>
      <c r="D113" s="184">
        <v>366</v>
      </c>
      <c r="E113" s="183">
        <v>31</v>
      </c>
      <c r="F113" s="183">
        <v>29</v>
      </c>
      <c r="G113" s="183">
        <v>31</v>
      </c>
      <c r="H113" s="183">
        <v>30</v>
      </c>
      <c r="I113" s="183">
        <v>31</v>
      </c>
      <c r="J113" s="183">
        <v>30</v>
      </c>
      <c r="K113" s="183">
        <v>31</v>
      </c>
      <c r="L113" s="183">
        <v>31</v>
      </c>
      <c r="M113" s="183">
        <v>30</v>
      </c>
      <c r="N113" s="183">
        <v>31</v>
      </c>
      <c r="O113" s="183">
        <v>30</v>
      </c>
      <c r="P113" s="183">
        <v>31</v>
      </c>
    </row>
    <row r="114" spans="2:16" s="171" customFormat="1" hidden="1" outlineLevel="1">
      <c r="B114" s="180" t="s">
        <v>243</v>
      </c>
      <c r="C114" s="181" t="s">
        <v>105</v>
      </c>
      <c r="D114" s="188">
        <f>SUM(E114:P114)</f>
        <v>0</v>
      </c>
      <c r="E114" s="187">
        <f t="shared" ref="E114:P114" si="67">E112*E113/$D$78*$D$7</f>
        <v>0</v>
      </c>
      <c r="F114" s="187">
        <f t="shared" si="67"/>
        <v>0</v>
      </c>
      <c r="G114" s="187">
        <f t="shared" si="67"/>
        <v>0</v>
      </c>
      <c r="H114" s="187">
        <f t="shared" si="67"/>
        <v>0</v>
      </c>
      <c r="I114" s="187">
        <f t="shared" si="67"/>
        <v>0</v>
      </c>
      <c r="J114" s="187">
        <f t="shared" si="67"/>
        <v>0</v>
      </c>
      <c r="K114" s="187">
        <f t="shared" si="67"/>
        <v>0</v>
      </c>
      <c r="L114" s="187">
        <f t="shared" si="67"/>
        <v>0</v>
      </c>
      <c r="M114" s="187">
        <f t="shared" si="67"/>
        <v>0</v>
      </c>
      <c r="N114" s="187">
        <f t="shared" si="67"/>
        <v>0</v>
      </c>
      <c r="O114" s="187">
        <f t="shared" si="67"/>
        <v>0</v>
      </c>
      <c r="P114" s="187">
        <f t="shared" si="67"/>
        <v>0</v>
      </c>
    </row>
    <row r="115" spans="2:16" s="171" customFormat="1" hidden="1" outlineLevel="1">
      <c r="B115" s="180" t="s">
        <v>244</v>
      </c>
      <c r="C115" s="181" t="s">
        <v>105</v>
      </c>
      <c r="D115" s="187">
        <f>SUM(E115:P115)</f>
        <v>0</v>
      </c>
      <c r="E115" s="187">
        <f t="shared" ref="E115:P115" si="68">E111+E114</f>
        <v>0</v>
      </c>
      <c r="F115" s="187">
        <f t="shared" si="68"/>
        <v>0</v>
      </c>
      <c r="G115" s="187">
        <f t="shared" si="68"/>
        <v>0</v>
      </c>
      <c r="H115" s="187">
        <f t="shared" si="68"/>
        <v>0</v>
      </c>
      <c r="I115" s="187">
        <f t="shared" si="68"/>
        <v>0</v>
      </c>
      <c r="J115" s="187">
        <f t="shared" si="68"/>
        <v>0</v>
      </c>
      <c r="K115" s="187">
        <f t="shared" si="68"/>
        <v>0</v>
      </c>
      <c r="L115" s="187">
        <f t="shared" si="68"/>
        <v>0</v>
      </c>
      <c r="M115" s="187">
        <f t="shared" si="68"/>
        <v>0</v>
      </c>
      <c r="N115" s="187">
        <f t="shared" si="68"/>
        <v>0</v>
      </c>
      <c r="O115" s="187">
        <f t="shared" si="68"/>
        <v>0</v>
      </c>
      <c r="P115" s="187">
        <f t="shared" si="68"/>
        <v>0</v>
      </c>
    </row>
    <row r="116" spans="2:16" s="171" customFormat="1" collapsed="1">
      <c r="B116" s="176">
        <f>B109</f>
        <v>0</v>
      </c>
      <c r="C116" s="177"/>
      <c r="D116" s="178">
        <f>D109+1</f>
        <v>2037</v>
      </c>
      <c r="E116" s="179" t="s">
        <v>226</v>
      </c>
      <c r="F116" s="179" t="s">
        <v>227</v>
      </c>
      <c r="G116" s="179" t="s">
        <v>228</v>
      </c>
      <c r="H116" s="179" t="s">
        <v>229</v>
      </c>
      <c r="I116" s="179" t="s">
        <v>230</v>
      </c>
      <c r="J116" s="179" t="s">
        <v>231</v>
      </c>
      <c r="K116" s="179" t="s">
        <v>232</v>
      </c>
      <c r="L116" s="179" t="s">
        <v>233</v>
      </c>
      <c r="M116" s="179" t="s">
        <v>234</v>
      </c>
      <c r="N116" s="179" t="s">
        <v>235</v>
      </c>
      <c r="O116" s="179" t="s">
        <v>236</v>
      </c>
      <c r="P116" s="179" t="s">
        <v>237</v>
      </c>
    </row>
    <row r="117" spans="2:16" s="171" customFormat="1" ht="13.5" hidden="1" customHeight="1" outlineLevel="1">
      <c r="B117" s="180" t="s">
        <v>238</v>
      </c>
      <c r="C117" s="181" t="s">
        <v>105</v>
      </c>
      <c r="D117" s="183">
        <f>SUM(E117:P117)</f>
        <v>0</v>
      </c>
      <c r="E117" s="183"/>
      <c r="F117" s="183"/>
      <c r="G117" s="183"/>
      <c r="H117" s="183"/>
      <c r="I117" s="183"/>
      <c r="J117" s="183"/>
      <c r="K117" s="183"/>
      <c r="L117" s="183"/>
      <c r="M117" s="183"/>
      <c r="N117" s="183"/>
      <c r="O117" s="183"/>
      <c r="P117" s="182"/>
    </row>
    <row r="118" spans="2:16" s="171" customFormat="1" ht="13.5" hidden="1" customHeight="1" outlineLevel="1">
      <c r="B118" s="180" t="s">
        <v>239</v>
      </c>
      <c r="C118" s="181" t="s">
        <v>105</v>
      </c>
      <c r="D118" s="188">
        <f>SUM(E118:P118)</f>
        <v>0</v>
      </c>
      <c r="E118" s="183">
        <f>P111</f>
        <v>0</v>
      </c>
      <c r="F118" s="183">
        <f>E118</f>
        <v>0</v>
      </c>
      <c r="G118" s="183">
        <f t="shared" ref="G118" si="69">F118</f>
        <v>0</v>
      </c>
      <c r="H118" s="183">
        <f>G118</f>
        <v>0</v>
      </c>
      <c r="I118" s="183"/>
      <c r="J118" s="183"/>
      <c r="K118" s="183"/>
      <c r="L118" s="183"/>
      <c r="M118" s="183"/>
      <c r="N118" s="183"/>
      <c r="O118" s="183"/>
      <c r="P118" s="183"/>
    </row>
    <row r="119" spans="2:16" s="171" customFormat="1" ht="13.5" hidden="1" customHeight="1" outlineLevel="1">
      <c r="B119" s="180" t="s">
        <v>240</v>
      </c>
      <c r="C119" s="181" t="s">
        <v>105</v>
      </c>
      <c r="D119" s="184"/>
      <c r="E119" s="183">
        <f>IF(P112+E117-E118&lt;0,0,P112+E117-E118)</f>
        <v>0</v>
      </c>
      <c r="F119" s="183">
        <f>IF(E119+F117-F118&lt;0,0,E119+F117-F118)</f>
        <v>0</v>
      </c>
      <c r="G119" s="183">
        <f t="shared" ref="G119:O119" si="70">IF(F119+G117-G118&lt;0,0,F119+G117-G118)</f>
        <v>0</v>
      </c>
      <c r="H119" s="183">
        <f t="shared" si="70"/>
        <v>0</v>
      </c>
      <c r="I119" s="183">
        <f t="shared" si="70"/>
        <v>0</v>
      </c>
      <c r="J119" s="183">
        <f t="shared" si="70"/>
        <v>0</v>
      </c>
      <c r="K119" s="183">
        <f t="shared" si="70"/>
        <v>0</v>
      </c>
      <c r="L119" s="183">
        <f t="shared" si="70"/>
        <v>0</v>
      </c>
      <c r="M119" s="183">
        <f t="shared" si="70"/>
        <v>0</v>
      </c>
      <c r="N119" s="183">
        <f t="shared" si="70"/>
        <v>0</v>
      </c>
      <c r="O119" s="183">
        <f t="shared" si="70"/>
        <v>0</v>
      </c>
      <c r="P119" s="183">
        <f>IF(O119+P117-P118&lt;0,0,O119+P117-P118)</f>
        <v>0</v>
      </c>
    </row>
    <row r="120" spans="2:16" s="171" customFormat="1" ht="13.5" hidden="1" customHeight="1" outlineLevel="1">
      <c r="B120" s="180" t="s">
        <v>241</v>
      </c>
      <c r="C120" s="185" t="s">
        <v>242</v>
      </c>
      <c r="D120" s="184">
        <v>365</v>
      </c>
      <c r="E120" s="183">
        <v>31</v>
      </c>
      <c r="F120" s="183">
        <v>28</v>
      </c>
      <c r="G120" s="183">
        <v>31</v>
      </c>
      <c r="H120" s="183">
        <v>30</v>
      </c>
      <c r="I120" s="183">
        <v>31</v>
      </c>
      <c r="J120" s="183">
        <v>30</v>
      </c>
      <c r="K120" s="183">
        <v>31</v>
      </c>
      <c r="L120" s="183">
        <v>31</v>
      </c>
      <c r="M120" s="183">
        <v>30</v>
      </c>
      <c r="N120" s="183">
        <v>31</v>
      </c>
      <c r="O120" s="183">
        <v>30</v>
      </c>
      <c r="P120" s="183">
        <v>31</v>
      </c>
    </row>
    <row r="121" spans="2:16" s="171" customFormat="1" ht="12" hidden="1" customHeight="1" outlineLevel="1">
      <c r="B121" s="180" t="s">
        <v>243</v>
      </c>
      <c r="C121" s="181" t="s">
        <v>105</v>
      </c>
      <c r="D121" s="188">
        <f>SUM(E121:P121)</f>
        <v>0</v>
      </c>
      <c r="E121" s="187">
        <f t="shared" ref="E121:P121" si="71">E119*E120/$D$78*$D$7</f>
        <v>0</v>
      </c>
      <c r="F121" s="187">
        <f t="shared" si="71"/>
        <v>0</v>
      </c>
      <c r="G121" s="187">
        <f t="shared" si="71"/>
        <v>0</v>
      </c>
      <c r="H121" s="187">
        <f t="shared" si="71"/>
        <v>0</v>
      </c>
      <c r="I121" s="187">
        <f t="shared" si="71"/>
        <v>0</v>
      </c>
      <c r="J121" s="187">
        <f t="shared" si="71"/>
        <v>0</v>
      </c>
      <c r="K121" s="187">
        <f t="shared" si="71"/>
        <v>0</v>
      </c>
      <c r="L121" s="187">
        <f t="shared" si="71"/>
        <v>0</v>
      </c>
      <c r="M121" s="187">
        <f t="shared" si="71"/>
        <v>0</v>
      </c>
      <c r="N121" s="187">
        <f t="shared" si="71"/>
        <v>0</v>
      </c>
      <c r="O121" s="187">
        <f t="shared" si="71"/>
        <v>0</v>
      </c>
      <c r="P121" s="187">
        <f t="shared" si="71"/>
        <v>0</v>
      </c>
    </row>
    <row r="122" spans="2:16" s="171" customFormat="1" hidden="1" outlineLevel="1">
      <c r="B122" s="180" t="s">
        <v>244</v>
      </c>
      <c r="C122" s="181" t="s">
        <v>105</v>
      </c>
      <c r="D122" s="187">
        <f>SUM(E122:P122)</f>
        <v>0</v>
      </c>
      <c r="E122" s="187">
        <f t="shared" ref="E122:P122" si="72">E118+E121</f>
        <v>0</v>
      </c>
      <c r="F122" s="187">
        <f t="shared" si="72"/>
        <v>0</v>
      </c>
      <c r="G122" s="187">
        <f t="shared" si="72"/>
        <v>0</v>
      </c>
      <c r="H122" s="187">
        <f t="shared" si="72"/>
        <v>0</v>
      </c>
      <c r="I122" s="187">
        <f t="shared" si="72"/>
        <v>0</v>
      </c>
      <c r="J122" s="187">
        <f t="shared" si="72"/>
        <v>0</v>
      </c>
      <c r="K122" s="187">
        <f t="shared" si="72"/>
        <v>0</v>
      </c>
      <c r="L122" s="187">
        <f t="shared" si="72"/>
        <v>0</v>
      </c>
      <c r="M122" s="187">
        <f t="shared" si="72"/>
        <v>0</v>
      </c>
      <c r="N122" s="187">
        <f t="shared" si="72"/>
        <v>0</v>
      </c>
      <c r="O122" s="187">
        <f t="shared" si="72"/>
        <v>0</v>
      </c>
      <c r="P122" s="187">
        <f t="shared" si="72"/>
        <v>0</v>
      </c>
    </row>
    <row r="123" spans="2:16" collapsed="1"/>
    <row r="127" spans="2:16">
      <c r="D127" s="19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opLeftCell="A2" zoomScale="90" zoomScaleNormal="90" workbookViewId="0">
      <pane xSplit="3" ySplit="7" topLeftCell="D101" activePane="bottomRight" state="frozen"/>
      <selection activeCell="A2" sqref="A2"/>
      <selection pane="topRight" activeCell="D2" sqref="D2"/>
      <selection pane="bottomLeft" activeCell="A9" sqref="A9"/>
      <selection pane="bottomRight" activeCell="E99" sqref="E99:P99"/>
    </sheetView>
  </sheetViews>
  <sheetFormatPr defaultColWidth="9.140625" defaultRowHeight="10.5" outlineLevelRow="2"/>
  <cols>
    <col min="1" max="1" width="8.28515625" style="155" customWidth="1"/>
    <col min="2" max="2" width="34.5703125" style="155" customWidth="1"/>
    <col min="3" max="3" width="10.28515625" style="155" customWidth="1"/>
    <col min="4" max="4" width="17" style="155" customWidth="1"/>
    <col min="5" max="16" width="15.42578125" style="155" customWidth="1"/>
    <col min="17" max="17" width="13" style="155" customWidth="1"/>
    <col min="18" max="16384" width="9.140625" style="155"/>
  </cols>
  <sheetData>
    <row r="1" spans="2:16" ht="25.5" hidden="1" customHeight="1">
      <c r="B1" s="150" t="s">
        <v>270</v>
      </c>
      <c r="C1" s="151" t="s">
        <v>223</v>
      </c>
      <c r="D1" s="152" t="e">
        <v>#DIV/0!</v>
      </c>
      <c r="E1" s="153"/>
      <c r="F1" s="153"/>
      <c r="G1" s="153"/>
      <c r="H1" s="153"/>
      <c r="I1" s="153"/>
      <c r="J1" s="153"/>
      <c r="K1" s="154"/>
      <c r="L1" s="154"/>
      <c r="M1" s="154"/>
      <c r="N1" s="154"/>
      <c r="O1" s="154"/>
      <c r="P1" s="154"/>
    </row>
    <row r="2" spans="2:16" ht="18">
      <c r="B2" s="156" t="s">
        <v>279</v>
      </c>
      <c r="C2" s="157"/>
      <c r="D2" s="158"/>
      <c r="E2" s="157"/>
      <c r="F2" s="157"/>
      <c r="G2" s="157"/>
      <c r="H2" s="151"/>
      <c r="I2" s="151"/>
      <c r="J2" s="151"/>
    </row>
    <row r="3" spans="2:16" ht="18">
      <c r="B3" s="156"/>
      <c r="C3" s="157"/>
      <c r="D3" s="158"/>
      <c r="E3" s="157"/>
      <c r="F3" s="157"/>
      <c r="G3" s="157"/>
      <c r="H3" s="151"/>
      <c r="I3" s="151"/>
      <c r="J3" s="151"/>
    </row>
    <row r="4" spans="2:16" s="165" customFormat="1" ht="18" customHeight="1">
      <c r="B4" s="159" t="s">
        <v>272</v>
      </c>
      <c r="C4" s="160" t="s">
        <v>273</v>
      </c>
      <c r="D4" s="161">
        <f>COUNTIF(B:B,"Период")</f>
        <v>11</v>
      </c>
      <c r="E4" s="162"/>
      <c r="F4" s="163"/>
      <c r="G4" s="163"/>
      <c r="H4" s="164"/>
      <c r="I4" s="164"/>
      <c r="J4" s="164"/>
    </row>
    <row r="5" spans="2:16" s="165" customFormat="1" ht="18" customHeight="1">
      <c r="B5" s="166" t="s">
        <v>245</v>
      </c>
      <c r="C5" s="160" t="s">
        <v>246</v>
      </c>
      <c r="D5" s="167">
        <f>SUMIFS(D:D,B:B,$B$26)</f>
        <v>1168328511.6666665</v>
      </c>
      <c r="E5" s="168"/>
    </row>
    <row r="6" spans="2:16" s="165" customFormat="1" ht="18" customHeight="1">
      <c r="B6" s="166" t="s">
        <v>274</v>
      </c>
      <c r="C6" s="160" t="s">
        <v>246</v>
      </c>
      <c r="D6" s="167">
        <f>SUMIFS(D:D,B:B,$B$27)</f>
        <v>1168328511.6666667</v>
      </c>
      <c r="E6" s="169"/>
    </row>
    <row r="7" spans="2:16" s="165" customFormat="1" ht="18" customHeight="1">
      <c r="B7" s="166" t="s">
        <v>275</v>
      </c>
      <c r="C7" s="160" t="s">
        <v>24</v>
      </c>
      <c r="D7" s="170">
        <v>0.03</v>
      </c>
      <c r="E7" s="169"/>
      <c r="G7" s="276">
        <f>'ИП 23-28'!K152</f>
        <v>1168328.5116666665</v>
      </c>
    </row>
    <row r="8" spans="2:16" s="165" customFormat="1" ht="18" customHeight="1">
      <c r="B8" s="166" t="s">
        <v>247</v>
      </c>
      <c r="C8" s="160"/>
      <c r="D8" s="167">
        <f>SUMIFS(D:D,B:B,"Размер погашения процентов ")</f>
        <v>227757068.26067007</v>
      </c>
    </row>
    <row r="9" spans="2:16" s="171" customFormat="1" ht="14.25">
      <c r="C9" s="172"/>
      <c r="D9" s="173"/>
      <c r="F9" s="174"/>
    </row>
    <row r="10" spans="2:16" s="171" customFormat="1" ht="12" customHeight="1">
      <c r="B10" s="175" t="s">
        <v>224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</row>
    <row r="11" spans="2:16" s="171" customFormat="1">
      <c r="B11" s="176"/>
      <c r="C11" s="177"/>
      <c r="D11" s="178">
        <v>2022</v>
      </c>
      <c r="E11" s="179" t="s">
        <v>226</v>
      </c>
      <c r="F11" s="179" t="s">
        <v>227</v>
      </c>
      <c r="G11" s="179" t="s">
        <v>228</v>
      </c>
      <c r="H11" s="179" t="s">
        <v>229</v>
      </c>
      <c r="I11" s="179" t="s">
        <v>230</v>
      </c>
      <c r="J11" s="179" t="s">
        <v>231</v>
      </c>
      <c r="K11" s="179" t="s">
        <v>232</v>
      </c>
      <c r="L11" s="179" t="s">
        <v>233</v>
      </c>
      <c r="M11" s="179" t="s">
        <v>234</v>
      </c>
      <c r="N11" s="179" t="s">
        <v>235</v>
      </c>
      <c r="O11" s="179" t="s">
        <v>236</v>
      </c>
      <c r="P11" s="179" t="s">
        <v>237</v>
      </c>
    </row>
    <row r="12" spans="2:16" s="171" customFormat="1" ht="10.5" hidden="1" customHeight="1" outlineLevel="1">
      <c r="B12" s="180" t="s">
        <v>238</v>
      </c>
      <c r="C12" s="181" t="s">
        <v>105</v>
      </c>
      <c r="D12" s="182">
        <f>SUM(E12:P12)</f>
        <v>0</v>
      </c>
      <c r="E12" s="183"/>
      <c r="F12" s="182"/>
      <c r="G12" s="183"/>
      <c r="H12" s="183">
        <v>0</v>
      </c>
      <c r="I12" s="183"/>
      <c r="J12" s="183">
        <v>0</v>
      </c>
      <c r="K12" s="183"/>
      <c r="L12" s="183">
        <v>0</v>
      </c>
      <c r="M12" s="183">
        <v>0</v>
      </c>
      <c r="N12" s="183">
        <v>0</v>
      </c>
      <c r="O12" s="183">
        <v>0</v>
      </c>
      <c r="P12" s="183"/>
    </row>
    <row r="13" spans="2:16" s="171" customFormat="1" ht="10.5" hidden="1" customHeight="1" outlineLevel="1">
      <c r="B13" s="180" t="s">
        <v>239</v>
      </c>
      <c r="C13" s="181" t="s">
        <v>105</v>
      </c>
      <c r="D13" s="183">
        <f>SUM(E13:P13)</f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  <c r="M13" s="183">
        <v>0</v>
      </c>
      <c r="N13" s="183">
        <v>0</v>
      </c>
      <c r="O13" s="183">
        <v>0</v>
      </c>
      <c r="P13" s="183">
        <v>0</v>
      </c>
    </row>
    <row r="14" spans="2:16" s="171" customFormat="1" ht="10.5" hidden="1" customHeight="1" outlineLevel="1">
      <c r="B14" s="180" t="s">
        <v>240</v>
      </c>
      <c r="C14" s="181" t="s">
        <v>105</v>
      </c>
      <c r="D14" s="184"/>
      <c r="E14" s="183">
        <f>E12-E13</f>
        <v>0</v>
      </c>
      <c r="F14" s="183">
        <f>IF(E14+F12-F13&lt;0,0,E14+F12-F13)</f>
        <v>0</v>
      </c>
      <c r="G14" s="183">
        <f t="shared" ref="G14:O14" si="0">IF(F14+G12-G13&lt;0,0,F14+G12-G13)</f>
        <v>0</v>
      </c>
      <c r="H14" s="183">
        <f t="shared" si="0"/>
        <v>0</v>
      </c>
      <c r="I14" s="183">
        <f t="shared" si="0"/>
        <v>0</v>
      </c>
      <c r="J14" s="183">
        <f t="shared" si="0"/>
        <v>0</v>
      </c>
      <c r="K14" s="183">
        <f t="shared" si="0"/>
        <v>0</v>
      </c>
      <c r="L14" s="183">
        <f t="shared" si="0"/>
        <v>0</v>
      </c>
      <c r="M14" s="183">
        <f t="shared" si="0"/>
        <v>0</v>
      </c>
      <c r="N14" s="183">
        <f t="shared" si="0"/>
        <v>0</v>
      </c>
      <c r="O14" s="183">
        <f t="shared" si="0"/>
        <v>0</v>
      </c>
      <c r="P14" s="183">
        <f>IF(O14+P12-P13&lt;0,0,O14+P12-P13)</f>
        <v>0</v>
      </c>
    </row>
    <row r="15" spans="2:16" s="171" customFormat="1" ht="10.5" hidden="1" customHeight="1" outlineLevel="1">
      <c r="B15" s="180" t="s">
        <v>241</v>
      </c>
      <c r="C15" s="185" t="s">
        <v>242</v>
      </c>
      <c r="D15" s="184">
        <f>SUM(E15:P15)</f>
        <v>365</v>
      </c>
      <c r="E15" s="183">
        <v>31</v>
      </c>
      <c r="F15" s="183">
        <v>28</v>
      </c>
      <c r="G15" s="183">
        <v>31</v>
      </c>
      <c r="H15" s="183">
        <v>30</v>
      </c>
      <c r="I15" s="183">
        <v>31</v>
      </c>
      <c r="J15" s="183">
        <v>30</v>
      </c>
      <c r="K15" s="183">
        <v>31</v>
      </c>
      <c r="L15" s="183">
        <v>31</v>
      </c>
      <c r="M15" s="183">
        <v>30</v>
      </c>
      <c r="N15" s="183">
        <v>31</v>
      </c>
      <c r="O15" s="183">
        <v>30</v>
      </c>
      <c r="P15" s="183">
        <v>31</v>
      </c>
    </row>
    <row r="16" spans="2:16" s="171" customFormat="1" ht="10.5" hidden="1" customHeight="1" outlineLevel="1">
      <c r="B16" s="180" t="s">
        <v>243</v>
      </c>
      <c r="C16" s="181" t="s">
        <v>105</v>
      </c>
      <c r="D16" s="186">
        <f>SUM(E16:P16)</f>
        <v>0</v>
      </c>
      <c r="E16" s="183">
        <f t="shared" ref="E16:P16" si="1">E14*E15/$D$15*$D$7</f>
        <v>0</v>
      </c>
      <c r="F16" s="183">
        <f t="shared" si="1"/>
        <v>0</v>
      </c>
      <c r="G16" s="183">
        <f t="shared" si="1"/>
        <v>0</v>
      </c>
      <c r="H16" s="183">
        <f t="shared" si="1"/>
        <v>0</v>
      </c>
      <c r="I16" s="183">
        <f t="shared" si="1"/>
        <v>0</v>
      </c>
      <c r="J16" s="183">
        <f t="shared" si="1"/>
        <v>0</v>
      </c>
      <c r="K16" s="183">
        <f t="shared" si="1"/>
        <v>0</v>
      </c>
      <c r="L16" s="183">
        <f t="shared" si="1"/>
        <v>0</v>
      </c>
      <c r="M16" s="183">
        <f t="shared" si="1"/>
        <v>0</v>
      </c>
      <c r="N16" s="183">
        <f t="shared" si="1"/>
        <v>0</v>
      </c>
      <c r="O16" s="183">
        <f t="shared" si="1"/>
        <v>0</v>
      </c>
      <c r="P16" s="183">
        <f t="shared" si="1"/>
        <v>0</v>
      </c>
    </row>
    <row r="17" spans="2:16" s="171" customFormat="1" ht="10.5" hidden="1" customHeight="1" outlineLevel="1">
      <c r="B17" s="180" t="s">
        <v>244</v>
      </c>
      <c r="C17" s="181" t="s">
        <v>105</v>
      </c>
      <c r="D17" s="187">
        <f>SUM(E17:P17)</f>
        <v>0</v>
      </c>
      <c r="E17" s="183">
        <f>E13+E16</f>
        <v>0</v>
      </c>
      <c r="F17" s="183">
        <f t="shared" ref="F17:P17" si="2">F13+F16</f>
        <v>0</v>
      </c>
      <c r="G17" s="183">
        <f t="shared" si="2"/>
        <v>0</v>
      </c>
      <c r="H17" s="183">
        <f t="shared" si="2"/>
        <v>0</v>
      </c>
      <c r="I17" s="183">
        <f t="shared" si="2"/>
        <v>0</v>
      </c>
      <c r="J17" s="183">
        <f t="shared" si="2"/>
        <v>0</v>
      </c>
      <c r="K17" s="183">
        <f t="shared" si="2"/>
        <v>0</v>
      </c>
      <c r="L17" s="183">
        <f>L13+L16</f>
        <v>0</v>
      </c>
      <c r="M17" s="183">
        <f t="shared" si="2"/>
        <v>0</v>
      </c>
      <c r="N17" s="183">
        <f t="shared" si="2"/>
        <v>0</v>
      </c>
      <c r="O17" s="183">
        <f t="shared" si="2"/>
        <v>0</v>
      </c>
      <c r="P17" s="183">
        <f t="shared" si="2"/>
        <v>0</v>
      </c>
    </row>
    <row r="18" spans="2:16" s="171" customFormat="1" collapsed="1">
      <c r="B18" s="176"/>
      <c r="C18" s="177"/>
      <c r="D18" s="178">
        <f>D11+1</f>
        <v>2023</v>
      </c>
      <c r="E18" s="179" t="s">
        <v>226</v>
      </c>
      <c r="F18" s="179" t="s">
        <v>227</v>
      </c>
      <c r="G18" s="179" t="s">
        <v>228</v>
      </c>
      <c r="H18" s="179" t="s">
        <v>229</v>
      </c>
      <c r="I18" s="179" t="s">
        <v>230</v>
      </c>
      <c r="J18" s="179" t="s">
        <v>231</v>
      </c>
      <c r="K18" s="179" t="s">
        <v>232</v>
      </c>
      <c r="L18" s="179" t="s">
        <v>233</v>
      </c>
      <c r="M18" s="179" t="s">
        <v>234</v>
      </c>
      <c r="N18" s="179" t="s">
        <v>235</v>
      </c>
      <c r="O18" s="179" t="s">
        <v>236</v>
      </c>
      <c r="P18" s="179" t="s">
        <v>237</v>
      </c>
    </row>
    <row r="19" spans="2:16" s="171" customFormat="1" ht="10.5" hidden="1" customHeight="1" outlineLevel="2">
      <c r="B19" s="180" t="s">
        <v>238</v>
      </c>
      <c r="C19" s="181" t="s">
        <v>105</v>
      </c>
      <c r="D19" s="182">
        <f>SUM(E19:P19)</f>
        <v>0</v>
      </c>
      <c r="E19" s="183"/>
      <c r="F19" s="182"/>
      <c r="G19" s="183">
        <v>0</v>
      </c>
      <c r="H19" s="183">
        <v>0</v>
      </c>
      <c r="I19" s="183"/>
      <c r="J19" s="183">
        <v>0</v>
      </c>
      <c r="K19" s="182">
        <v>0</v>
      </c>
      <c r="L19" s="183">
        <v>0</v>
      </c>
      <c r="M19" s="183">
        <v>0</v>
      </c>
      <c r="N19" s="183">
        <v>0</v>
      </c>
      <c r="O19" s="183">
        <v>0</v>
      </c>
      <c r="P19" s="183"/>
    </row>
    <row r="20" spans="2:16" s="171" customFormat="1" ht="10.5" hidden="1" customHeight="1" outlineLevel="2">
      <c r="B20" s="180" t="s">
        <v>239</v>
      </c>
      <c r="C20" s="181" t="s">
        <v>105</v>
      </c>
      <c r="D20" s="183">
        <f>SUM(E20:P20)</f>
        <v>0</v>
      </c>
      <c r="E20" s="183">
        <v>0</v>
      </c>
      <c r="F20" s="183">
        <f>($N$12/1.2)/6/12</f>
        <v>0</v>
      </c>
      <c r="G20" s="183">
        <v>0</v>
      </c>
      <c r="H20" s="183">
        <f t="shared" ref="H20:M20" si="3">($N$12/1.2)/6/12</f>
        <v>0</v>
      </c>
      <c r="I20" s="183">
        <f t="shared" si="3"/>
        <v>0</v>
      </c>
      <c r="J20" s="183">
        <f t="shared" si="3"/>
        <v>0</v>
      </c>
      <c r="K20" s="183">
        <f t="shared" si="3"/>
        <v>0</v>
      </c>
      <c r="L20" s="183">
        <f t="shared" si="3"/>
        <v>0</v>
      </c>
      <c r="M20" s="183">
        <f t="shared" si="3"/>
        <v>0</v>
      </c>
      <c r="N20" s="183"/>
      <c r="O20" s="183">
        <f>($N$20/1.2)/6/12</f>
        <v>0</v>
      </c>
      <c r="P20" s="183">
        <f>($N$20/1.2)/6/12</f>
        <v>0</v>
      </c>
    </row>
    <row r="21" spans="2:16" s="171" customFormat="1" ht="10.5" hidden="1" customHeight="1" outlineLevel="2">
      <c r="B21" s="180" t="s">
        <v>240</v>
      </c>
      <c r="C21" s="181" t="s">
        <v>105</v>
      </c>
      <c r="D21" s="184"/>
      <c r="E21" s="183">
        <f>IF(P14+E19-E20&lt;0,0,P14+E19-E20)</f>
        <v>0</v>
      </c>
      <c r="F21" s="183">
        <f>IF(E21+F19-F20&lt;0,0,E21+F19-F20)</f>
        <v>0</v>
      </c>
      <c r="G21" s="183">
        <f>IF(F21+G19-G20&lt;0,0,F21+G19-G20)</f>
        <v>0</v>
      </c>
      <c r="H21" s="183">
        <f t="shared" ref="H21:O21" si="4">IF(G21+H19-H20&lt;0,0,G21+H19-H20)</f>
        <v>0</v>
      </c>
      <c r="I21" s="183">
        <f t="shared" si="4"/>
        <v>0</v>
      </c>
      <c r="J21" s="183">
        <f t="shared" si="4"/>
        <v>0</v>
      </c>
      <c r="K21" s="183">
        <f>IF(J21+K19-K20&lt;0,0,J21+K19-K20)</f>
        <v>0</v>
      </c>
      <c r="L21" s="183">
        <f t="shared" si="4"/>
        <v>0</v>
      </c>
      <c r="M21" s="183">
        <f t="shared" si="4"/>
        <v>0</v>
      </c>
      <c r="N21" s="183">
        <f t="shared" si="4"/>
        <v>0</v>
      </c>
      <c r="O21" s="183">
        <f t="shared" si="4"/>
        <v>0</v>
      </c>
      <c r="P21" s="183">
        <f>IF(O21+P19-P20&lt;0,0,O21+P19-P20)</f>
        <v>0</v>
      </c>
    </row>
    <row r="22" spans="2:16" s="171" customFormat="1" ht="10.5" hidden="1" customHeight="1" outlineLevel="2">
      <c r="B22" s="180" t="s">
        <v>241</v>
      </c>
      <c r="C22" s="185" t="s">
        <v>242</v>
      </c>
      <c r="D22" s="184">
        <v>365</v>
      </c>
      <c r="E22" s="183">
        <v>31</v>
      </c>
      <c r="F22" s="183">
        <v>28</v>
      </c>
      <c r="G22" s="183">
        <v>31</v>
      </c>
      <c r="H22" s="183">
        <v>30</v>
      </c>
      <c r="I22" s="183">
        <v>31</v>
      </c>
      <c r="J22" s="183">
        <v>30</v>
      </c>
      <c r="K22" s="183">
        <v>31</v>
      </c>
      <c r="L22" s="183">
        <v>31</v>
      </c>
      <c r="M22" s="183">
        <v>30</v>
      </c>
      <c r="N22" s="183">
        <v>31</v>
      </c>
      <c r="O22" s="183">
        <v>30</v>
      </c>
      <c r="P22" s="183">
        <v>31</v>
      </c>
    </row>
    <row r="23" spans="2:16" s="171" customFormat="1" ht="10.5" hidden="1" customHeight="1" outlineLevel="2">
      <c r="B23" s="180" t="s">
        <v>243</v>
      </c>
      <c r="C23" s="181" t="s">
        <v>105</v>
      </c>
      <c r="D23" s="186">
        <f>SUM(E23:P23)</f>
        <v>0</v>
      </c>
      <c r="E23" s="183">
        <f t="shared" ref="E23:P23" si="5">E21*E22/$D$22*$D$7</f>
        <v>0</v>
      </c>
      <c r="F23" s="183">
        <f t="shared" si="5"/>
        <v>0</v>
      </c>
      <c r="G23" s="183">
        <f t="shared" si="5"/>
        <v>0</v>
      </c>
      <c r="H23" s="183">
        <f t="shared" si="5"/>
        <v>0</v>
      </c>
      <c r="I23" s="183">
        <f t="shared" si="5"/>
        <v>0</v>
      </c>
      <c r="J23" s="183">
        <f t="shared" si="5"/>
        <v>0</v>
      </c>
      <c r="K23" s="183">
        <f t="shared" si="5"/>
        <v>0</v>
      </c>
      <c r="L23" s="183">
        <f t="shared" si="5"/>
        <v>0</v>
      </c>
      <c r="M23" s="183">
        <f t="shared" si="5"/>
        <v>0</v>
      </c>
      <c r="N23" s="183">
        <f t="shared" si="5"/>
        <v>0</v>
      </c>
      <c r="O23" s="183">
        <f t="shared" si="5"/>
        <v>0</v>
      </c>
      <c r="P23" s="183">
        <f t="shared" si="5"/>
        <v>0</v>
      </c>
    </row>
    <row r="24" spans="2:16" s="171" customFormat="1" ht="10.5" hidden="1" customHeight="1" outlineLevel="2">
      <c r="B24" s="180" t="s">
        <v>244</v>
      </c>
      <c r="C24" s="181" t="s">
        <v>105</v>
      </c>
      <c r="D24" s="184">
        <f>SUM(E24:P24)</f>
        <v>0</v>
      </c>
      <c r="E24" s="183">
        <f>E20+E23</f>
        <v>0</v>
      </c>
      <c r="F24" s="183">
        <f t="shared" ref="F24:P24" si="6">F20+F23</f>
        <v>0</v>
      </c>
      <c r="G24" s="183">
        <f t="shared" si="6"/>
        <v>0</v>
      </c>
      <c r="H24" s="183">
        <f t="shared" si="6"/>
        <v>0</v>
      </c>
      <c r="I24" s="183">
        <f t="shared" si="6"/>
        <v>0</v>
      </c>
      <c r="J24" s="183">
        <f t="shared" si="6"/>
        <v>0</v>
      </c>
      <c r="K24" s="183">
        <f t="shared" si="6"/>
        <v>0</v>
      </c>
      <c r="L24" s="183">
        <f t="shared" si="6"/>
        <v>0</v>
      </c>
      <c r="M24" s="183">
        <f t="shared" si="6"/>
        <v>0</v>
      </c>
      <c r="N24" s="183">
        <f t="shared" si="6"/>
        <v>0</v>
      </c>
      <c r="O24" s="183">
        <f t="shared" si="6"/>
        <v>0</v>
      </c>
      <c r="P24" s="183">
        <f t="shared" si="6"/>
        <v>0</v>
      </c>
    </row>
    <row r="25" spans="2:16" s="171" customFormat="1" collapsed="1">
      <c r="B25" s="176"/>
      <c r="C25" s="177"/>
      <c r="D25" s="178">
        <f>D18+1</f>
        <v>2024</v>
      </c>
      <c r="E25" s="179" t="s">
        <v>226</v>
      </c>
      <c r="F25" s="179" t="s">
        <v>227</v>
      </c>
      <c r="G25" s="179" t="s">
        <v>228</v>
      </c>
      <c r="H25" s="179" t="s">
        <v>229</v>
      </c>
      <c r="I25" s="179" t="s">
        <v>230</v>
      </c>
      <c r="J25" s="179" t="s">
        <v>231</v>
      </c>
      <c r="K25" s="179" t="s">
        <v>232</v>
      </c>
      <c r="L25" s="179" t="s">
        <v>233</v>
      </c>
      <c r="M25" s="179" t="s">
        <v>234</v>
      </c>
      <c r="N25" s="179" t="s">
        <v>235</v>
      </c>
      <c r="O25" s="179" t="s">
        <v>236</v>
      </c>
      <c r="P25" s="179" t="s">
        <v>237</v>
      </c>
    </row>
    <row r="26" spans="2:16" s="171" customFormat="1" hidden="1" outlineLevel="1">
      <c r="B26" s="180" t="s">
        <v>238</v>
      </c>
      <c r="C26" s="181" t="s">
        <v>105</v>
      </c>
      <c r="D26" s="182">
        <f>SUM(E26:P26)</f>
        <v>0</v>
      </c>
      <c r="E26" s="183">
        <v>0</v>
      </c>
      <c r="F26" s="182"/>
      <c r="G26" s="183"/>
      <c r="H26" s="183">
        <v>0</v>
      </c>
      <c r="I26" s="183"/>
      <c r="J26" s="183">
        <v>0</v>
      </c>
      <c r="K26" s="183"/>
      <c r="L26" s="183">
        <v>0</v>
      </c>
      <c r="M26" s="183">
        <v>0</v>
      </c>
      <c r="N26" s="183">
        <v>0</v>
      </c>
      <c r="O26" s="183">
        <v>0</v>
      </c>
      <c r="P26" s="183"/>
    </row>
    <row r="27" spans="2:16" s="171" customFormat="1" hidden="1" outlineLevel="1">
      <c r="B27" s="180" t="s">
        <v>239</v>
      </c>
      <c r="C27" s="181" t="s">
        <v>105</v>
      </c>
      <c r="D27" s="183">
        <f>SUM(E27:P27)</f>
        <v>0</v>
      </c>
      <c r="E27" s="183">
        <f>($E$26/1.2)/6/12</f>
        <v>0</v>
      </c>
      <c r="F27" s="183">
        <f t="shared" ref="F27:P27" si="7">($E$26/1.2)/6/12</f>
        <v>0</v>
      </c>
      <c r="G27" s="183">
        <f t="shared" si="7"/>
        <v>0</v>
      </c>
      <c r="H27" s="183">
        <f t="shared" si="7"/>
        <v>0</v>
      </c>
      <c r="I27" s="183">
        <f t="shared" si="7"/>
        <v>0</v>
      </c>
      <c r="J27" s="183">
        <f t="shared" si="7"/>
        <v>0</v>
      </c>
      <c r="K27" s="183">
        <f t="shared" si="7"/>
        <v>0</v>
      </c>
      <c r="L27" s="183">
        <f t="shared" si="7"/>
        <v>0</v>
      </c>
      <c r="M27" s="183">
        <f t="shared" si="7"/>
        <v>0</v>
      </c>
      <c r="N27" s="183">
        <f t="shared" si="7"/>
        <v>0</v>
      </c>
      <c r="O27" s="183">
        <f t="shared" si="7"/>
        <v>0</v>
      </c>
      <c r="P27" s="183">
        <f t="shared" si="7"/>
        <v>0</v>
      </c>
    </row>
    <row r="28" spans="2:16" s="171" customFormat="1" hidden="1" outlineLevel="1">
      <c r="B28" s="180" t="s">
        <v>240</v>
      </c>
      <c r="C28" s="181" t="s">
        <v>105</v>
      </c>
      <c r="D28" s="184"/>
      <c r="E28" s="183">
        <f>IF(P21+E26-E27&lt;0,0,P21+E26-E27)</f>
        <v>0</v>
      </c>
      <c r="F28" s="183">
        <f>IF(E28+F26-F27&lt;0,0,E28+F26-F27)</f>
        <v>0</v>
      </c>
      <c r="G28" s="183">
        <f t="shared" ref="G28:O28" si="8">IF(F28+G26-G27&lt;0,0,F28+G26-G27)</f>
        <v>0</v>
      </c>
      <c r="H28" s="183">
        <f t="shared" si="8"/>
        <v>0</v>
      </c>
      <c r="I28" s="183">
        <f t="shared" si="8"/>
        <v>0</v>
      </c>
      <c r="J28" s="183">
        <f t="shared" si="8"/>
        <v>0</v>
      </c>
      <c r="K28" s="183">
        <f t="shared" si="8"/>
        <v>0</v>
      </c>
      <c r="L28" s="183">
        <f t="shared" si="8"/>
        <v>0</v>
      </c>
      <c r="M28" s="183">
        <f t="shared" si="8"/>
        <v>0</v>
      </c>
      <c r="N28" s="183">
        <f t="shared" si="8"/>
        <v>0</v>
      </c>
      <c r="O28" s="183">
        <f t="shared" si="8"/>
        <v>0</v>
      </c>
      <c r="P28" s="183">
        <f>IF(O28+P26-P27&lt;0,0,O28+P26-P27)</f>
        <v>0</v>
      </c>
    </row>
    <row r="29" spans="2:16" s="171" customFormat="1" hidden="1" outlineLevel="1">
      <c r="B29" s="180" t="s">
        <v>241</v>
      </c>
      <c r="C29" s="185" t="s">
        <v>242</v>
      </c>
      <c r="D29" s="184">
        <v>366</v>
      </c>
      <c r="E29" s="183">
        <v>31</v>
      </c>
      <c r="F29" s="183">
        <v>29</v>
      </c>
      <c r="G29" s="183">
        <v>31</v>
      </c>
      <c r="H29" s="183">
        <v>30</v>
      </c>
      <c r="I29" s="183">
        <v>31</v>
      </c>
      <c r="J29" s="183">
        <v>30</v>
      </c>
      <c r="K29" s="183">
        <v>31</v>
      </c>
      <c r="L29" s="183">
        <v>31</v>
      </c>
      <c r="M29" s="183">
        <v>30</v>
      </c>
      <c r="N29" s="183">
        <v>31</v>
      </c>
      <c r="O29" s="183">
        <v>30</v>
      </c>
      <c r="P29" s="183">
        <v>31</v>
      </c>
    </row>
    <row r="30" spans="2:16" s="171" customFormat="1" hidden="1" outlineLevel="1">
      <c r="B30" s="180" t="s">
        <v>243</v>
      </c>
      <c r="C30" s="181" t="s">
        <v>105</v>
      </c>
      <c r="D30" s="188">
        <f>SUM(E30:P30)</f>
        <v>0</v>
      </c>
      <c r="E30" s="183">
        <f t="shared" ref="E30:P30" si="9">E28*E29/$D$29*$D$7</f>
        <v>0</v>
      </c>
      <c r="F30" s="183">
        <f t="shared" si="9"/>
        <v>0</v>
      </c>
      <c r="G30" s="183">
        <f t="shared" si="9"/>
        <v>0</v>
      </c>
      <c r="H30" s="183">
        <f t="shared" si="9"/>
        <v>0</v>
      </c>
      <c r="I30" s="183">
        <f t="shared" si="9"/>
        <v>0</v>
      </c>
      <c r="J30" s="183">
        <f t="shared" si="9"/>
        <v>0</v>
      </c>
      <c r="K30" s="183">
        <f t="shared" si="9"/>
        <v>0</v>
      </c>
      <c r="L30" s="183">
        <f t="shared" si="9"/>
        <v>0</v>
      </c>
      <c r="M30" s="183">
        <f t="shared" si="9"/>
        <v>0</v>
      </c>
      <c r="N30" s="183">
        <f t="shared" si="9"/>
        <v>0</v>
      </c>
      <c r="O30" s="183">
        <f t="shared" si="9"/>
        <v>0</v>
      </c>
      <c r="P30" s="183">
        <f t="shared" si="9"/>
        <v>0</v>
      </c>
    </row>
    <row r="31" spans="2:16" s="171" customFormat="1" hidden="1" outlineLevel="1">
      <c r="B31" s="180" t="s">
        <v>244</v>
      </c>
      <c r="C31" s="181" t="s">
        <v>105</v>
      </c>
      <c r="D31" s="187">
        <f>SUM(E31:P31)</f>
        <v>0</v>
      </c>
      <c r="E31" s="183">
        <f>E27+E30</f>
        <v>0</v>
      </c>
      <c r="F31" s="183">
        <f t="shared" ref="F31:P31" si="10">F27+F30</f>
        <v>0</v>
      </c>
      <c r="G31" s="183">
        <f t="shared" si="10"/>
        <v>0</v>
      </c>
      <c r="H31" s="183">
        <f t="shared" si="10"/>
        <v>0</v>
      </c>
      <c r="I31" s="183">
        <f t="shared" si="10"/>
        <v>0</v>
      </c>
      <c r="J31" s="183">
        <f t="shared" si="10"/>
        <v>0</v>
      </c>
      <c r="K31" s="183">
        <f t="shared" si="10"/>
        <v>0</v>
      </c>
      <c r="L31" s="183">
        <f t="shared" si="10"/>
        <v>0</v>
      </c>
      <c r="M31" s="183">
        <f t="shared" si="10"/>
        <v>0</v>
      </c>
      <c r="N31" s="183">
        <f t="shared" si="10"/>
        <v>0</v>
      </c>
      <c r="O31" s="183">
        <f t="shared" si="10"/>
        <v>0</v>
      </c>
      <c r="P31" s="183">
        <f t="shared" si="10"/>
        <v>0</v>
      </c>
    </row>
    <row r="32" spans="2:16" s="171" customFormat="1" collapsed="1">
      <c r="B32" s="176"/>
      <c r="C32" s="177"/>
      <c r="D32" s="178">
        <f>D25+1</f>
        <v>2025</v>
      </c>
      <c r="E32" s="179" t="s">
        <v>226</v>
      </c>
      <c r="F32" s="179" t="s">
        <v>227</v>
      </c>
      <c r="G32" s="179" t="s">
        <v>228</v>
      </c>
      <c r="H32" s="179" t="s">
        <v>229</v>
      </c>
      <c r="I32" s="179" t="s">
        <v>230</v>
      </c>
      <c r="J32" s="179" t="s">
        <v>231</v>
      </c>
      <c r="K32" s="179" t="s">
        <v>232</v>
      </c>
      <c r="L32" s="179" t="s">
        <v>233</v>
      </c>
      <c r="M32" s="179" t="s">
        <v>234</v>
      </c>
      <c r="N32" s="179" t="s">
        <v>235</v>
      </c>
      <c r="O32" s="179" t="s">
        <v>236</v>
      </c>
      <c r="P32" s="179" t="s">
        <v>237</v>
      </c>
    </row>
    <row r="33" spans="2:16" s="171" customFormat="1" hidden="1" outlineLevel="1">
      <c r="B33" s="180" t="s">
        <v>238</v>
      </c>
      <c r="C33" s="181" t="s">
        <v>105</v>
      </c>
      <c r="D33" s="182">
        <f>SUM(E33:P33)</f>
        <v>0</v>
      </c>
      <c r="E33" s="182"/>
      <c r="F33" s="182"/>
      <c r="G33" s="183"/>
      <c r="H33" s="183">
        <v>0</v>
      </c>
      <c r="I33" s="183"/>
      <c r="J33" s="183">
        <v>0</v>
      </c>
      <c r="K33" s="183"/>
      <c r="L33" s="183">
        <v>0</v>
      </c>
      <c r="M33" s="183">
        <v>0</v>
      </c>
      <c r="N33" s="183">
        <v>0</v>
      </c>
      <c r="O33" s="183">
        <v>0</v>
      </c>
      <c r="P33" s="183"/>
    </row>
    <row r="34" spans="2:16" s="171" customFormat="1" hidden="1" outlineLevel="1">
      <c r="B34" s="180" t="s">
        <v>239</v>
      </c>
      <c r="C34" s="181" t="s">
        <v>105</v>
      </c>
      <c r="D34" s="183">
        <f>SUM(E34:P34)</f>
        <v>0</v>
      </c>
      <c r="E34" s="183">
        <f t="shared" ref="E34:P34" si="11">($K$19/1.2)/6/12</f>
        <v>0</v>
      </c>
      <c r="F34" s="183">
        <f t="shared" si="11"/>
        <v>0</v>
      </c>
      <c r="G34" s="182">
        <f t="shared" si="11"/>
        <v>0</v>
      </c>
      <c r="H34" s="183">
        <f t="shared" si="11"/>
        <v>0</v>
      </c>
      <c r="I34" s="183">
        <f t="shared" si="11"/>
        <v>0</v>
      </c>
      <c r="J34" s="183">
        <f t="shared" si="11"/>
        <v>0</v>
      </c>
      <c r="K34" s="183">
        <f t="shared" si="11"/>
        <v>0</v>
      </c>
      <c r="L34" s="183">
        <f t="shared" si="11"/>
        <v>0</v>
      </c>
      <c r="M34" s="183">
        <f t="shared" si="11"/>
        <v>0</v>
      </c>
      <c r="N34" s="183">
        <f t="shared" si="11"/>
        <v>0</v>
      </c>
      <c r="O34" s="183">
        <f t="shared" si="11"/>
        <v>0</v>
      </c>
      <c r="P34" s="183">
        <f t="shared" si="11"/>
        <v>0</v>
      </c>
    </row>
    <row r="35" spans="2:16" s="171" customFormat="1" hidden="1" outlineLevel="1">
      <c r="B35" s="180" t="s">
        <v>240</v>
      </c>
      <c r="C35" s="181" t="s">
        <v>105</v>
      </c>
      <c r="D35" s="184"/>
      <c r="E35" s="183">
        <f>IF(P28+E33-E34&lt;0,0,P28+E33-E34)</f>
        <v>0</v>
      </c>
      <c r="F35" s="183">
        <f>IF(E35+F33-F34&lt;0,0,E35+F33-F34)</f>
        <v>0</v>
      </c>
      <c r="G35" s="183">
        <f t="shared" ref="G35:O35" si="12">IF(F35+G33-G34&lt;0,0,F35+G33-G34)</f>
        <v>0</v>
      </c>
      <c r="H35" s="183">
        <f t="shared" si="12"/>
        <v>0</v>
      </c>
      <c r="I35" s="183">
        <f t="shared" si="12"/>
        <v>0</v>
      </c>
      <c r="J35" s="183">
        <f t="shared" si="12"/>
        <v>0</v>
      </c>
      <c r="K35" s="183">
        <f t="shared" si="12"/>
        <v>0</v>
      </c>
      <c r="L35" s="183">
        <f t="shared" si="12"/>
        <v>0</v>
      </c>
      <c r="M35" s="183">
        <f t="shared" si="12"/>
        <v>0</v>
      </c>
      <c r="N35" s="183">
        <f t="shared" si="12"/>
        <v>0</v>
      </c>
      <c r="O35" s="183">
        <f t="shared" si="12"/>
        <v>0</v>
      </c>
      <c r="P35" s="183">
        <f>IF(O35+P33-P34&lt;0,0,O35+P33-P34)</f>
        <v>0</v>
      </c>
    </row>
    <row r="36" spans="2:16" s="171" customFormat="1" hidden="1" outlineLevel="1">
      <c r="B36" s="180" t="s">
        <v>241</v>
      </c>
      <c r="C36" s="185" t="s">
        <v>242</v>
      </c>
      <c r="D36" s="184">
        <v>365</v>
      </c>
      <c r="E36" s="183">
        <v>31</v>
      </c>
      <c r="F36" s="183">
        <v>28</v>
      </c>
      <c r="G36" s="183">
        <v>31</v>
      </c>
      <c r="H36" s="183">
        <v>30</v>
      </c>
      <c r="I36" s="183">
        <v>31</v>
      </c>
      <c r="J36" s="183">
        <v>30</v>
      </c>
      <c r="K36" s="183">
        <v>31</v>
      </c>
      <c r="L36" s="183">
        <v>31</v>
      </c>
      <c r="M36" s="183">
        <v>30</v>
      </c>
      <c r="N36" s="183">
        <v>31</v>
      </c>
      <c r="O36" s="183">
        <v>30</v>
      </c>
      <c r="P36" s="183">
        <v>31</v>
      </c>
    </row>
    <row r="37" spans="2:16" s="171" customFormat="1" hidden="1" outlineLevel="1">
      <c r="B37" s="180" t="s">
        <v>243</v>
      </c>
      <c r="C37" s="181" t="s">
        <v>105</v>
      </c>
      <c r="D37" s="188">
        <f>SUM(E37:P37)</f>
        <v>0</v>
      </c>
      <c r="E37" s="187">
        <f t="shared" ref="E37:P37" si="13">E35*E36/$D$36*$D$7</f>
        <v>0</v>
      </c>
      <c r="F37" s="187">
        <f t="shared" si="13"/>
        <v>0</v>
      </c>
      <c r="G37" s="187">
        <f t="shared" si="13"/>
        <v>0</v>
      </c>
      <c r="H37" s="187">
        <f t="shared" si="13"/>
        <v>0</v>
      </c>
      <c r="I37" s="187">
        <f t="shared" si="13"/>
        <v>0</v>
      </c>
      <c r="J37" s="187">
        <f t="shared" si="13"/>
        <v>0</v>
      </c>
      <c r="K37" s="187">
        <f t="shared" si="13"/>
        <v>0</v>
      </c>
      <c r="L37" s="187">
        <f t="shared" si="13"/>
        <v>0</v>
      </c>
      <c r="M37" s="187">
        <f t="shared" si="13"/>
        <v>0</v>
      </c>
      <c r="N37" s="187">
        <f t="shared" si="13"/>
        <v>0</v>
      </c>
      <c r="O37" s="187">
        <f t="shared" si="13"/>
        <v>0</v>
      </c>
      <c r="P37" s="187">
        <f t="shared" si="13"/>
        <v>0</v>
      </c>
    </row>
    <row r="38" spans="2:16" s="171" customFormat="1" hidden="1" outlineLevel="1">
      <c r="B38" s="180" t="s">
        <v>244</v>
      </c>
      <c r="C38" s="181" t="s">
        <v>105</v>
      </c>
      <c r="D38" s="187">
        <f>SUM(E38:P38)</f>
        <v>0</v>
      </c>
      <c r="E38" s="187">
        <f t="shared" ref="E38:P38" si="14">E34+E37</f>
        <v>0</v>
      </c>
      <c r="F38" s="187">
        <f t="shared" si="14"/>
        <v>0</v>
      </c>
      <c r="G38" s="187">
        <f t="shared" si="14"/>
        <v>0</v>
      </c>
      <c r="H38" s="187">
        <f t="shared" si="14"/>
        <v>0</v>
      </c>
      <c r="I38" s="187">
        <f t="shared" si="14"/>
        <v>0</v>
      </c>
      <c r="J38" s="187">
        <f t="shared" si="14"/>
        <v>0</v>
      </c>
      <c r="K38" s="187">
        <f t="shared" si="14"/>
        <v>0</v>
      </c>
      <c r="L38" s="187">
        <f t="shared" si="14"/>
        <v>0</v>
      </c>
      <c r="M38" s="187">
        <f t="shared" si="14"/>
        <v>0</v>
      </c>
      <c r="N38" s="187">
        <f t="shared" si="14"/>
        <v>0</v>
      </c>
      <c r="O38" s="187">
        <f t="shared" si="14"/>
        <v>0</v>
      </c>
      <c r="P38" s="187">
        <f t="shared" si="14"/>
        <v>0</v>
      </c>
    </row>
    <row r="39" spans="2:16" s="171" customFormat="1" collapsed="1">
      <c r="B39" s="176"/>
      <c r="C39" s="177"/>
      <c r="D39" s="178">
        <f>D32+1</f>
        <v>2026</v>
      </c>
      <c r="E39" s="179" t="s">
        <v>226</v>
      </c>
      <c r="F39" s="179" t="s">
        <v>227</v>
      </c>
      <c r="G39" s="179" t="s">
        <v>228</v>
      </c>
      <c r="H39" s="179" t="s">
        <v>229</v>
      </c>
      <c r="I39" s="179" t="s">
        <v>230</v>
      </c>
      <c r="J39" s="179" t="s">
        <v>231</v>
      </c>
      <c r="K39" s="179" t="s">
        <v>232</v>
      </c>
      <c r="L39" s="179" t="s">
        <v>233</v>
      </c>
      <c r="M39" s="179" t="s">
        <v>234</v>
      </c>
      <c r="N39" s="179" t="s">
        <v>235</v>
      </c>
      <c r="O39" s="179" t="s">
        <v>236</v>
      </c>
      <c r="P39" s="179" t="s">
        <v>237</v>
      </c>
    </row>
    <row r="40" spans="2:16" s="171" customFormat="1" ht="13.5" hidden="1" customHeight="1" outlineLevel="1">
      <c r="B40" s="180" t="s">
        <v>238</v>
      </c>
      <c r="C40" s="181" t="s">
        <v>105</v>
      </c>
      <c r="D40" s="183">
        <f>SUM(E40:P40)</f>
        <v>0</v>
      </c>
      <c r="E40" s="182"/>
      <c r="F40" s="183">
        <v>0</v>
      </c>
      <c r="G40" s="183">
        <v>0</v>
      </c>
      <c r="H40" s="183">
        <v>0</v>
      </c>
      <c r="I40" s="183">
        <v>0</v>
      </c>
      <c r="J40" s="183">
        <v>0</v>
      </c>
      <c r="K40" s="183">
        <v>0</v>
      </c>
      <c r="L40" s="183">
        <v>0</v>
      </c>
      <c r="M40" s="183">
        <v>0</v>
      </c>
      <c r="N40" s="183">
        <v>0</v>
      </c>
      <c r="O40" s="183">
        <v>0</v>
      </c>
      <c r="P40" s="182"/>
    </row>
    <row r="41" spans="2:16" s="171" customFormat="1" ht="13.5" hidden="1" customHeight="1" outlineLevel="1">
      <c r="B41" s="189" t="s">
        <v>239</v>
      </c>
      <c r="C41" s="190" t="s">
        <v>105</v>
      </c>
      <c r="D41" s="187">
        <f>SUM(E41:P41)</f>
        <v>0</v>
      </c>
      <c r="E41" s="187">
        <f t="shared" ref="E41:P41" si="15">($K$19/1.2)/6/12</f>
        <v>0</v>
      </c>
      <c r="F41" s="187">
        <f t="shared" si="15"/>
        <v>0</v>
      </c>
      <c r="G41" s="187">
        <f t="shared" si="15"/>
        <v>0</v>
      </c>
      <c r="H41" s="187">
        <f t="shared" si="15"/>
        <v>0</v>
      </c>
      <c r="I41" s="187">
        <f t="shared" si="15"/>
        <v>0</v>
      </c>
      <c r="J41" s="187">
        <f t="shared" si="15"/>
        <v>0</v>
      </c>
      <c r="K41" s="187">
        <f t="shared" si="15"/>
        <v>0</v>
      </c>
      <c r="L41" s="187">
        <f t="shared" si="15"/>
        <v>0</v>
      </c>
      <c r="M41" s="187">
        <f t="shared" si="15"/>
        <v>0</v>
      </c>
      <c r="N41" s="187">
        <f t="shared" si="15"/>
        <v>0</v>
      </c>
      <c r="O41" s="187">
        <f t="shared" si="15"/>
        <v>0</v>
      </c>
      <c r="P41" s="187">
        <f t="shared" si="15"/>
        <v>0</v>
      </c>
    </row>
    <row r="42" spans="2:16" s="171" customFormat="1" ht="13.5" hidden="1" customHeight="1" outlineLevel="1">
      <c r="B42" s="180" t="s">
        <v>240</v>
      </c>
      <c r="C42" s="181" t="s">
        <v>105</v>
      </c>
      <c r="D42" s="184"/>
      <c r="E42" s="183">
        <f>IF(P35+E40-E41&lt;0,0,P35+E40-E41)</f>
        <v>0</v>
      </c>
      <c r="F42" s="183">
        <f>IF(E42+F40-F41&lt;0,0,E42+F40-F41)</f>
        <v>0</v>
      </c>
      <c r="G42" s="183">
        <f t="shared" ref="G42:O42" si="16">IF(F42+G40-G41&lt;0,0,F42+G40-G41)</f>
        <v>0</v>
      </c>
      <c r="H42" s="183">
        <f t="shared" si="16"/>
        <v>0</v>
      </c>
      <c r="I42" s="183">
        <f t="shared" si="16"/>
        <v>0</v>
      </c>
      <c r="J42" s="183">
        <f t="shared" si="16"/>
        <v>0</v>
      </c>
      <c r="K42" s="183">
        <f t="shared" si="16"/>
        <v>0</v>
      </c>
      <c r="L42" s="183">
        <f t="shared" si="16"/>
        <v>0</v>
      </c>
      <c r="M42" s="183">
        <f t="shared" si="16"/>
        <v>0</v>
      </c>
      <c r="N42" s="183">
        <f t="shared" si="16"/>
        <v>0</v>
      </c>
      <c r="O42" s="183">
        <f t="shared" si="16"/>
        <v>0</v>
      </c>
      <c r="P42" s="183">
        <f>IF(O42+P40-P41&lt;0,0,O42+P40-P41)</f>
        <v>0</v>
      </c>
    </row>
    <row r="43" spans="2:16" s="171" customFormat="1" ht="13.5" hidden="1" customHeight="1" outlineLevel="1">
      <c r="B43" s="180" t="s">
        <v>241</v>
      </c>
      <c r="C43" s="185" t="s">
        <v>242</v>
      </c>
      <c r="D43" s="184">
        <v>365</v>
      </c>
      <c r="E43" s="183">
        <v>31</v>
      </c>
      <c r="F43" s="183">
        <v>28</v>
      </c>
      <c r="G43" s="183">
        <v>31</v>
      </c>
      <c r="H43" s="183">
        <v>30</v>
      </c>
      <c r="I43" s="183">
        <v>31</v>
      </c>
      <c r="J43" s="183">
        <v>30</v>
      </c>
      <c r="K43" s="183">
        <v>31</v>
      </c>
      <c r="L43" s="183">
        <v>31</v>
      </c>
      <c r="M43" s="183">
        <v>30</v>
      </c>
      <c r="N43" s="183">
        <v>31</v>
      </c>
      <c r="O43" s="183">
        <v>30</v>
      </c>
      <c r="P43" s="183">
        <v>31</v>
      </c>
    </row>
    <row r="44" spans="2:16" s="171" customFormat="1" ht="13.5" hidden="1" customHeight="1" outlineLevel="1">
      <c r="B44" s="180" t="s">
        <v>243</v>
      </c>
      <c r="C44" s="181" t="s">
        <v>105</v>
      </c>
      <c r="D44" s="188">
        <f>SUM(E44:P44)</f>
        <v>0</v>
      </c>
      <c r="E44" s="187">
        <f t="shared" ref="E44:P44" si="17">E42*E43/$D$43*$D$7</f>
        <v>0</v>
      </c>
      <c r="F44" s="187">
        <f t="shared" si="17"/>
        <v>0</v>
      </c>
      <c r="G44" s="187">
        <f t="shared" si="17"/>
        <v>0</v>
      </c>
      <c r="H44" s="187">
        <f t="shared" si="17"/>
        <v>0</v>
      </c>
      <c r="I44" s="187">
        <f t="shared" si="17"/>
        <v>0</v>
      </c>
      <c r="J44" s="187">
        <f t="shared" si="17"/>
        <v>0</v>
      </c>
      <c r="K44" s="187">
        <f t="shared" si="17"/>
        <v>0</v>
      </c>
      <c r="L44" s="187">
        <f t="shared" si="17"/>
        <v>0</v>
      </c>
      <c r="M44" s="187">
        <f t="shared" si="17"/>
        <v>0</v>
      </c>
      <c r="N44" s="187">
        <f t="shared" si="17"/>
        <v>0</v>
      </c>
      <c r="O44" s="187">
        <f t="shared" si="17"/>
        <v>0</v>
      </c>
      <c r="P44" s="187">
        <f t="shared" si="17"/>
        <v>0</v>
      </c>
    </row>
    <row r="45" spans="2:16" s="171" customFormat="1" ht="13.5" hidden="1" customHeight="1" outlineLevel="1">
      <c r="B45" s="180" t="s">
        <v>244</v>
      </c>
      <c r="C45" s="181" t="s">
        <v>105</v>
      </c>
      <c r="D45" s="187">
        <f>SUM(E45:P45)</f>
        <v>0</v>
      </c>
      <c r="E45" s="187">
        <f>E41+E44</f>
        <v>0</v>
      </c>
      <c r="F45" s="187">
        <f t="shared" ref="F45:P45" si="18">F41+F44</f>
        <v>0</v>
      </c>
      <c r="G45" s="187">
        <f t="shared" si="18"/>
        <v>0</v>
      </c>
      <c r="H45" s="187">
        <f t="shared" si="18"/>
        <v>0</v>
      </c>
      <c r="I45" s="187">
        <f t="shared" si="18"/>
        <v>0</v>
      </c>
      <c r="J45" s="187">
        <f t="shared" si="18"/>
        <v>0</v>
      </c>
      <c r="K45" s="187">
        <f t="shared" si="18"/>
        <v>0</v>
      </c>
      <c r="L45" s="187">
        <f t="shared" si="18"/>
        <v>0</v>
      </c>
      <c r="M45" s="187">
        <f t="shared" si="18"/>
        <v>0</v>
      </c>
      <c r="N45" s="187">
        <f t="shared" si="18"/>
        <v>0</v>
      </c>
      <c r="O45" s="187">
        <f t="shared" si="18"/>
        <v>0</v>
      </c>
      <c r="P45" s="187">
        <f t="shared" si="18"/>
        <v>0</v>
      </c>
    </row>
    <row r="46" spans="2:16" s="171" customFormat="1" collapsed="1">
      <c r="B46" s="176"/>
      <c r="C46" s="177"/>
      <c r="D46" s="178">
        <f>D39+1</f>
        <v>2027</v>
      </c>
      <c r="E46" s="179" t="s">
        <v>226</v>
      </c>
      <c r="F46" s="179" t="s">
        <v>227</v>
      </c>
      <c r="G46" s="179" t="s">
        <v>228</v>
      </c>
      <c r="H46" s="179" t="s">
        <v>229</v>
      </c>
      <c r="I46" s="179" t="s">
        <v>230</v>
      </c>
      <c r="J46" s="179" t="s">
        <v>231</v>
      </c>
      <c r="K46" s="179" t="s">
        <v>232</v>
      </c>
      <c r="L46" s="179" t="s">
        <v>233</v>
      </c>
      <c r="M46" s="179" t="s">
        <v>234</v>
      </c>
      <c r="N46" s="179" t="s">
        <v>235</v>
      </c>
      <c r="O46" s="179" t="s">
        <v>236</v>
      </c>
      <c r="P46" s="179" t="s">
        <v>237</v>
      </c>
    </row>
    <row r="47" spans="2:16" s="171" customFormat="1" ht="13.5" hidden="1" customHeight="1" outlineLevel="1">
      <c r="B47" s="180" t="s">
        <v>238</v>
      </c>
      <c r="C47" s="181" t="s">
        <v>105</v>
      </c>
      <c r="D47" s="183">
        <f>SUM(E47:P47)</f>
        <v>0</v>
      </c>
      <c r="E47" s="182"/>
      <c r="F47" s="183">
        <v>0</v>
      </c>
      <c r="G47" s="183">
        <v>0</v>
      </c>
      <c r="H47" s="183">
        <v>0</v>
      </c>
      <c r="I47" s="183">
        <v>0</v>
      </c>
      <c r="J47" s="183">
        <v>0</v>
      </c>
      <c r="K47" s="183">
        <v>0</v>
      </c>
      <c r="L47" s="183">
        <v>0</v>
      </c>
      <c r="M47" s="183">
        <v>0</v>
      </c>
      <c r="N47" s="183">
        <v>0</v>
      </c>
      <c r="O47" s="183">
        <v>0</v>
      </c>
      <c r="P47" s="183"/>
    </row>
    <row r="48" spans="2:16" s="191" customFormat="1" hidden="1" outlineLevel="1">
      <c r="B48" s="189" t="s">
        <v>239</v>
      </c>
      <c r="C48" s="190" t="s">
        <v>105</v>
      </c>
      <c r="D48" s="187">
        <f>SUM(E48:P48)</f>
        <v>0</v>
      </c>
      <c r="E48" s="187">
        <f t="shared" ref="E48:P48" si="19">($K$19/1.2)/6/12</f>
        <v>0</v>
      </c>
      <c r="F48" s="187">
        <f t="shared" si="19"/>
        <v>0</v>
      </c>
      <c r="G48" s="187">
        <f t="shared" si="19"/>
        <v>0</v>
      </c>
      <c r="H48" s="187">
        <f t="shared" si="19"/>
        <v>0</v>
      </c>
      <c r="I48" s="187">
        <f t="shared" si="19"/>
        <v>0</v>
      </c>
      <c r="J48" s="187">
        <f t="shared" si="19"/>
        <v>0</v>
      </c>
      <c r="K48" s="187">
        <f t="shared" si="19"/>
        <v>0</v>
      </c>
      <c r="L48" s="187">
        <f t="shared" si="19"/>
        <v>0</v>
      </c>
      <c r="M48" s="187">
        <f t="shared" si="19"/>
        <v>0</v>
      </c>
      <c r="N48" s="187">
        <f t="shared" si="19"/>
        <v>0</v>
      </c>
      <c r="O48" s="187">
        <f t="shared" si="19"/>
        <v>0</v>
      </c>
      <c r="P48" s="183">
        <f t="shared" si="19"/>
        <v>0</v>
      </c>
    </row>
    <row r="49" spans="1:16" s="171" customFormat="1" ht="13.5" hidden="1" customHeight="1" outlineLevel="1">
      <c r="B49" s="180" t="s">
        <v>240</v>
      </c>
      <c r="C49" s="181" t="s">
        <v>105</v>
      </c>
      <c r="D49" s="184"/>
      <c r="E49" s="183">
        <f>IF(P42+E47-E48&lt;0,0,P42+E47-E48)</f>
        <v>0</v>
      </c>
      <c r="F49" s="183">
        <f t="shared" ref="F49:P49" si="20">IF(E49+F47-F48&lt;0,0,E49+F47-F48)</f>
        <v>0</v>
      </c>
      <c r="G49" s="183">
        <f t="shared" si="20"/>
        <v>0</v>
      </c>
      <c r="H49" s="183">
        <f t="shared" si="20"/>
        <v>0</v>
      </c>
      <c r="I49" s="183">
        <f t="shared" si="20"/>
        <v>0</v>
      </c>
      <c r="J49" s="183">
        <f t="shared" si="20"/>
        <v>0</v>
      </c>
      <c r="K49" s="183">
        <f t="shared" si="20"/>
        <v>0</v>
      </c>
      <c r="L49" s="183">
        <f t="shared" si="20"/>
        <v>0</v>
      </c>
      <c r="M49" s="183">
        <f t="shared" si="20"/>
        <v>0</v>
      </c>
      <c r="N49" s="183">
        <f t="shared" si="20"/>
        <v>0</v>
      </c>
      <c r="O49" s="183">
        <f t="shared" si="20"/>
        <v>0</v>
      </c>
      <c r="P49" s="183">
        <f t="shared" si="20"/>
        <v>0</v>
      </c>
    </row>
    <row r="50" spans="1:16" s="171" customFormat="1" ht="13.5" hidden="1" customHeight="1" outlineLevel="1">
      <c r="B50" s="180" t="s">
        <v>241</v>
      </c>
      <c r="C50" s="185" t="s">
        <v>242</v>
      </c>
      <c r="D50" s="184">
        <v>365</v>
      </c>
      <c r="E50" s="183">
        <v>31</v>
      </c>
      <c r="F50" s="183">
        <v>28</v>
      </c>
      <c r="G50" s="183">
        <v>31</v>
      </c>
      <c r="H50" s="183">
        <v>30</v>
      </c>
      <c r="I50" s="183">
        <v>31</v>
      </c>
      <c r="J50" s="183">
        <v>30</v>
      </c>
      <c r="K50" s="183">
        <v>31</v>
      </c>
      <c r="L50" s="183">
        <v>31</v>
      </c>
      <c r="M50" s="183">
        <v>30</v>
      </c>
      <c r="N50" s="183">
        <v>31</v>
      </c>
      <c r="O50" s="183">
        <v>30</v>
      </c>
      <c r="P50" s="183">
        <v>31</v>
      </c>
    </row>
    <row r="51" spans="1:16" s="171" customFormat="1" ht="13.5" hidden="1" customHeight="1" outlineLevel="1">
      <c r="B51" s="180" t="s">
        <v>243</v>
      </c>
      <c r="C51" s="181" t="s">
        <v>105</v>
      </c>
      <c r="D51" s="188">
        <f>SUM(E51:P51)</f>
        <v>0</v>
      </c>
      <c r="E51" s="187">
        <f t="shared" ref="E51:O51" si="21">E49*E50/$D$43*$D$7</f>
        <v>0</v>
      </c>
      <c r="F51" s="187">
        <f t="shared" si="21"/>
        <v>0</v>
      </c>
      <c r="G51" s="187">
        <f t="shared" si="21"/>
        <v>0</v>
      </c>
      <c r="H51" s="187">
        <f t="shared" si="21"/>
        <v>0</v>
      </c>
      <c r="I51" s="187">
        <f t="shared" si="21"/>
        <v>0</v>
      </c>
      <c r="J51" s="187">
        <f t="shared" si="21"/>
        <v>0</v>
      </c>
      <c r="K51" s="187">
        <f t="shared" si="21"/>
        <v>0</v>
      </c>
      <c r="L51" s="187">
        <f t="shared" si="21"/>
        <v>0</v>
      </c>
      <c r="M51" s="187">
        <f t="shared" si="21"/>
        <v>0</v>
      </c>
      <c r="N51" s="187">
        <f t="shared" si="21"/>
        <v>0</v>
      </c>
      <c r="O51" s="187">
        <f t="shared" si="21"/>
        <v>0</v>
      </c>
      <c r="P51" s="187">
        <f>P49*P50/$D$50*$D$7</f>
        <v>0</v>
      </c>
    </row>
    <row r="52" spans="1:16" s="171" customFormat="1" ht="13.5" hidden="1" customHeight="1" outlineLevel="1">
      <c r="B52" s="180" t="s">
        <v>244</v>
      </c>
      <c r="C52" s="181" t="s">
        <v>105</v>
      </c>
      <c r="D52" s="187">
        <f>SUM(E52:P52)</f>
        <v>0</v>
      </c>
      <c r="E52" s="187">
        <f>E48+E51</f>
        <v>0</v>
      </c>
      <c r="F52" s="187">
        <f t="shared" ref="F52:O52" si="22">F48+F51</f>
        <v>0</v>
      </c>
      <c r="G52" s="187">
        <f t="shared" si="22"/>
        <v>0</v>
      </c>
      <c r="H52" s="187">
        <f t="shared" si="22"/>
        <v>0</v>
      </c>
      <c r="I52" s="187">
        <f t="shared" si="22"/>
        <v>0</v>
      </c>
      <c r="J52" s="187">
        <f t="shared" si="22"/>
        <v>0</v>
      </c>
      <c r="K52" s="187">
        <f t="shared" si="22"/>
        <v>0</v>
      </c>
      <c r="L52" s="187">
        <f t="shared" si="22"/>
        <v>0</v>
      </c>
      <c r="M52" s="187">
        <f t="shared" si="22"/>
        <v>0</v>
      </c>
      <c r="N52" s="187">
        <f t="shared" si="22"/>
        <v>0</v>
      </c>
      <c r="O52" s="187">
        <f t="shared" si="22"/>
        <v>0</v>
      </c>
      <c r="P52" s="187">
        <f>P48+P51</f>
        <v>0</v>
      </c>
    </row>
    <row r="53" spans="1:16" s="171" customFormat="1" collapsed="1">
      <c r="B53" s="176" t="s">
        <v>225</v>
      </c>
      <c r="C53" s="177"/>
      <c r="D53" s="178">
        <f>D46+1</f>
        <v>2028</v>
      </c>
      <c r="E53" s="179" t="s">
        <v>226</v>
      </c>
      <c r="F53" s="179" t="s">
        <v>227</v>
      </c>
      <c r="G53" s="179" t="s">
        <v>228</v>
      </c>
      <c r="H53" s="179" t="s">
        <v>229</v>
      </c>
      <c r="I53" s="179" t="s">
        <v>230</v>
      </c>
      <c r="J53" s="179" t="s">
        <v>231</v>
      </c>
      <c r="K53" s="179" t="s">
        <v>232</v>
      </c>
      <c r="L53" s="179" t="s">
        <v>233</v>
      </c>
      <c r="M53" s="179" t="s">
        <v>234</v>
      </c>
      <c r="N53" s="179" t="s">
        <v>235</v>
      </c>
      <c r="O53" s="179" t="s">
        <v>236</v>
      </c>
      <c r="P53" s="179" t="s">
        <v>237</v>
      </c>
    </row>
    <row r="54" spans="1:16" s="171" customFormat="1" ht="13.5" customHeight="1">
      <c r="A54" s="173">
        <f>D53</f>
        <v>2028</v>
      </c>
      <c r="B54" s="180" t="s">
        <v>238</v>
      </c>
      <c r="C54" s="181" t="s">
        <v>105</v>
      </c>
      <c r="D54" s="183">
        <f>SUM(E54:P54)</f>
        <v>1168328511.6666665</v>
      </c>
      <c r="E54" s="182">
        <f>G7*1000/4</f>
        <v>292082127.91666663</v>
      </c>
      <c r="F54" s="182">
        <f>E54</f>
        <v>292082127.91666663</v>
      </c>
      <c r="G54" s="182"/>
      <c r="H54" s="183"/>
      <c r="I54" s="183"/>
      <c r="J54" s="183"/>
      <c r="K54" s="183"/>
      <c r="L54" s="183"/>
      <c r="M54" s="183"/>
      <c r="N54" s="183"/>
      <c r="O54" s="182">
        <f>F54</f>
        <v>292082127.91666663</v>
      </c>
      <c r="P54" s="183">
        <f>F54</f>
        <v>292082127.91666663</v>
      </c>
    </row>
    <row r="55" spans="1:16" s="171" customFormat="1" ht="13.5" customHeight="1">
      <c r="A55" s="173">
        <f>A54</f>
        <v>2028</v>
      </c>
      <c r="B55" s="180" t="s">
        <v>239</v>
      </c>
      <c r="C55" s="181" t="s">
        <v>105</v>
      </c>
      <c r="D55" s="187">
        <f>SUM(E55:P55)</f>
        <v>0</v>
      </c>
      <c r="E55" s="187">
        <f t="shared" ref="E55:P55" si="23">($K$19/1.2)/6/12</f>
        <v>0</v>
      </c>
      <c r="F55" s="187">
        <f t="shared" si="23"/>
        <v>0</v>
      </c>
      <c r="G55" s="187">
        <f t="shared" si="23"/>
        <v>0</v>
      </c>
      <c r="H55" s="187">
        <f t="shared" si="23"/>
        <v>0</v>
      </c>
      <c r="I55" s="187">
        <f t="shared" si="23"/>
        <v>0</v>
      </c>
      <c r="J55" s="187">
        <f t="shared" si="23"/>
        <v>0</v>
      </c>
      <c r="K55" s="187">
        <f t="shared" si="23"/>
        <v>0</v>
      </c>
      <c r="L55" s="187">
        <f t="shared" si="23"/>
        <v>0</v>
      </c>
      <c r="M55" s="187">
        <f t="shared" si="23"/>
        <v>0</v>
      </c>
      <c r="N55" s="187">
        <f t="shared" si="23"/>
        <v>0</v>
      </c>
      <c r="O55" s="187">
        <f t="shared" si="23"/>
        <v>0</v>
      </c>
      <c r="P55" s="187">
        <f t="shared" si="23"/>
        <v>0</v>
      </c>
    </row>
    <row r="56" spans="1:16" s="171" customFormat="1" ht="13.5" customHeight="1">
      <c r="A56" s="173">
        <f>A55</f>
        <v>2028</v>
      </c>
      <c r="B56" s="180" t="s">
        <v>240</v>
      </c>
      <c r="C56" s="181" t="s">
        <v>105</v>
      </c>
      <c r="D56" s="184"/>
      <c r="E56" s="183">
        <f>IF(P49+E54-E55&lt;0,0,P49+E54-E55)</f>
        <v>292082127.91666663</v>
      </c>
      <c r="F56" s="183">
        <f>IF(E56+F54-F55&lt;0,0,E56+F54-F55)</f>
        <v>584164255.83333325</v>
      </c>
      <c r="G56" s="183">
        <f t="shared" ref="G56:O56" si="24">IF(F56+G54-G55&lt;0,0,F56+G54-G55)</f>
        <v>584164255.83333325</v>
      </c>
      <c r="H56" s="183">
        <f t="shared" si="24"/>
        <v>584164255.83333325</v>
      </c>
      <c r="I56" s="183">
        <f t="shared" si="24"/>
        <v>584164255.83333325</v>
      </c>
      <c r="J56" s="183">
        <f t="shared" si="24"/>
        <v>584164255.83333325</v>
      </c>
      <c r="K56" s="183">
        <f t="shared" si="24"/>
        <v>584164255.83333325</v>
      </c>
      <c r="L56" s="183">
        <f t="shared" si="24"/>
        <v>584164255.83333325</v>
      </c>
      <c r="M56" s="183">
        <f t="shared" si="24"/>
        <v>584164255.83333325</v>
      </c>
      <c r="N56" s="183">
        <f t="shared" si="24"/>
        <v>584164255.83333325</v>
      </c>
      <c r="O56" s="183">
        <f t="shared" si="24"/>
        <v>876246383.74999988</v>
      </c>
      <c r="P56" s="187">
        <f>IF(O56+P54-P55&lt;0,0,O56+P54-P55)</f>
        <v>1168328511.6666665</v>
      </c>
    </row>
    <row r="57" spans="1:16" s="191" customFormat="1" ht="13.5" customHeight="1">
      <c r="A57" s="195">
        <f>A56</f>
        <v>2028</v>
      </c>
      <c r="B57" s="189" t="s">
        <v>241</v>
      </c>
      <c r="C57" s="192" t="s">
        <v>242</v>
      </c>
      <c r="D57" s="383">
        <f>D29</f>
        <v>366</v>
      </c>
      <c r="E57" s="187">
        <v>31</v>
      </c>
      <c r="F57" s="187">
        <v>29</v>
      </c>
      <c r="G57" s="187">
        <v>31</v>
      </c>
      <c r="H57" s="187">
        <v>30</v>
      </c>
      <c r="I57" s="187">
        <v>31</v>
      </c>
      <c r="J57" s="187">
        <v>30</v>
      </c>
      <c r="K57" s="187">
        <v>31</v>
      </c>
      <c r="L57" s="187">
        <v>31</v>
      </c>
      <c r="M57" s="187">
        <v>30</v>
      </c>
      <c r="N57" s="187">
        <v>31</v>
      </c>
      <c r="O57" s="187">
        <v>30</v>
      </c>
      <c r="P57" s="187">
        <v>31</v>
      </c>
    </row>
    <row r="58" spans="1:16" s="171" customFormat="1" ht="13.5" customHeight="1">
      <c r="A58" s="173">
        <f>A57</f>
        <v>2028</v>
      </c>
      <c r="B58" s="180" t="s">
        <v>243</v>
      </c>
      <c r="C58" s="181" t="s">
        <v>105</v>
      </c>
      <c r="D58" s="188">
        <f>SUM(E58:P58)</f>
        <v>18985338.314583331</v>
      </c>
      <c r="E58" s="187">
        <f t="shared" ref="E58:P58" si="25">E56*E57/$D$57*$D$7</f>
        <v>742175.8988046447</v>
      </c>
      <c r="F58" s="187">
        <f>F56*F57/$D$57*$D$7</f>
        <v>1388587.1655054644</v>
      </c>
      <c r="G58" s="187">
        <f>G56*G57/$D$57*$D$7</f>
        <v>1484351.7976092894</v>
      </c>
      <c r="H58" s="187">
        <f t="shared" si="25"/>
        <v>1436469.4815573767</v>
      </c>
      <c r="I58" s="187">
        <f t="shared" si="25"/>
        <v>1484351.7976092894</v>
      </c>
      <c r="J58" s="187">
        <f t="shared" si="25"/>
        <v>1436469.4815573767</v>
      </c>
      <c r="K58" s="187">
        <f t="shared" si="25"/>
        <v>1484351.7976092894</v>
      </c>
      <c r="L58" s="187">
        <f t="shared" si="25"/>
        <v>1484351.7976092894</v>
      </c>
      <c r="M58" s="187">
        <f t="shared" si="25"/>
        <v>1436469.4815573767</v>
      </c>
      <c r="N58" s="187">
        <f t="shared" si="25"/>
        <v>1484351.7976092894</v>
      </c>
      <c r="O58" s="187">
        <f t="shared" si="25"/>
        <v>2154704.2223360655</v>
      </c>
      <c r="P58" s="187">
        <f t="shared" si="25"/>
        <v>2968703.5952185788</v>
      </c>
    </row>
    <row r="59" spans="1:16" s="171" customFormat="1" ht="13.5" customHeight="1">
      <c r="A59" s="173">
        <f>A58</f>
        <v>2028</v>
      </c>
      <c r="B59" s="180" t="s">
        <v>244</v>
      </c>
      <c r="C59" s="181" t="s">
        <v>105</v>
      </c>
      <c r="D59" s="187">
        <f>SUM(E59:P59)</f>
        <v>18985338.314583331</v>
      </c>
      <c r="E59" s="187">
        <f t="shared" ref="E59:P59" si="26">E55+E58</f>
        <v>742175.8988046447</v>
      </c>
      <c r="F59" s="187">
        <f t="shared" si="26"/>
        <v>1388587.1655054644</v>
      </c>
      <c r="G59" s="187">
        <f t="shared" si="26"/>
        <v>1484351.7976092894</v>
      </c>
      <c r="H59" s="187">
        <f t="shared" si="26"/>
        <v>1436469.4815573767</v>
      </c>
      <c r="I59" s="187">
        <f t="shared" si="26"/>
        <v>1484351.7976092894</v>
      </c>
      <c r="J59" s="187">
        <f t="shared" si="26"/>
        <v>1436469.4815573767</v>
      </c>
      <c r="K59" s="187">
        <f t="shared" si="26"/>
        <v>1484351.7976092894</v>
      </c>
      <c r="L59" s="187">
        <f t="shared" si="26"/>
        <v>1484351.7976092894</v>
      </c>
      <c r="M59" s="187">
        <f t="shared" si="26"/>
        <v>1436469.4815573767</v>
      </c>
      <c r="N59" s="187">
        <f t="shared" si="26"/>
        <v>1484351.7976092894</v>
      </c>
      <c r="O59" s="187">
        <f t="shared" si="26"/>
        <v>2154704.2223360655</v>
      </c>
      <c r="P59" s="187">
        <f t="shared" si="26"/>
        <v>2968703.5952185788</v>
      </c>
    </row>
    <row r="60" spans="1:16" s="171" customFormat="1" collapsed="1">
      <c r="B60" s="176" t="s">
        <v>225</v>
      </c>
      <c r="C60" s="177"/>
      <c r="D60" s="178">
        <f>D53+1</f>
        <v>2029</v>
      </c>
      <c r="E60" s="179" t="s">
        <v>226</v>
      </c>
      <c r="F60" s="179" t="s">
        <v>227</v>
      </c>
      <c r="G60" s="179" t="s">
        <v>228</v>
      </c>
      <c r="H60" s="179" t="s">
        <v>229</v>
      </c>
      <c r="I60" s="179" t="s">
        <v>230</v>
      </c>
      <c r="J60" s="179" t="s">
        <v>231</v>
      </c>
      <c r="K60" s="179" t="s">
        <v>232</v>
      </c>
      <c r="L60" s="179" t="s">
        <v>233</v>
      </c>
      <c r="M60" s="179" t="s">
        <v>234</v>
      </c>
      <c r="N60" s="179" t="s">
        <v>235</v>
      </c>
      <c r="O60" s="179" t="s">
        <v>236</v>
      </c>
      <c r="P60" s="179" t="s">
        <v>237</v>
      </c>
    </row>
    <row r="61" spans="1:16" s="171" customFormat="1" ht="13.5" customHeight="1">
      <c r="A61" s="173">
        <f t="shared" ref="A61" si="27">D60</f>
        <v>2029</v>
      </c>
      <c r="B61" s="180" t="s">
        <v>238</v>
      </c>
      <c r="C61" s="181" t="s">
        <v>105</v>
      </c>
      <c r="D61" s="183">
        <f>SUM(E61:P61)</f>
        <v>0</v>
      </c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</row>
    <row r="62" spans="1:16" s="171" customFormat="1" ht="13.5" customHeight="1">
      <c r="A62" s="173">
        <f t="shared" ref="A62:A66" si="28">A61</f>
        <v>2029</v>
      </c>
      <c r="B62" s="180" t="s">
        <v>239</v>
      </c>
      <c r="C62" s="181" t="s">
        <v>105</v>
      </c>
      <c r="D62" s="188">
        <f>SUM(E62:P62)</f>
        <v>0</v>
      </c>
      <c r="E62" s="183"/>
      <c r="F62" s="183">
        <f>E62</f>
        <v>0</v>
      </c>
      <c r="G62" s="183">
        <f t="shared" ref="G62:P62" si="29">F62</f>
        <v>0</v>
      </c>
      <c r="H62" s="183">
        <f t="shared" si="29"/>
        <v>0</v>
      </c>
      <c r="I62" s="183">
        <f t="shared" si="29"/>
        <v>0</v>
      </c>
      <c r="J62" s="183">
        <f t="shared" si="29"/>
        <v>0</v>
      </c>
      <c r="K62" s="183">
        <f t="shared" si="29"/>
        <v>0</v>
      </c>
      <c r="L62" s="183">
        <f t="shared" si="29"/>
        <v>0</v>
      </c>
      <c r="M62" s="183">
        <f t="shared" si="29"/>
        <v>0</v>
      </c>
      <c r="N62" s="183">
        <f t="shared" si="29"/>
        <v>0</v>
      </c>
      <c r="O62" s="183">
        <f t="shared" si="29"/>
        <v>0</v>
      </c>
      <c r="P62" s="183">
        <f t="shared" si="29"/>
        <v>0</v>
      </c>
    </row>
    <row r="63" spans="1:16" s="171" customFormat="1" ht="13.5" customHeight="1">
      <c r="A63" s="173">
        <f t="shared" si="28"/>
        <v>2029</v>
      </c>
      <c r="B63" s="180" t="s">
        <v>240</v>
      </c>
      <c r="C63" s="181" t="s">
        <v>105</v>
      </c>
      <c r="D63" s="184"/>
      <c r="E63" s="183">
        <f>IF(P56+E61-E62&lt;0,0,P56+E61-E62)</f>
        <v>1168328511.6666665</v>
      </c>
      <c r="F63" s="183">
        <f>IF(E63+F61-F62&lt;0,0,E63+F61-F62)</f>
        <v>1168328511.6666665</v>
      </c>
      <c r="G63" s="183">
        <f t="shared" ref="G63:O63" si="30">IF(F63+G61-G62&lt;0,0,F63+G61-G62)</f>
        <v>1168328511.6666665</v>
      </c>
      <c r="H63" s="183">
        <f t="shared" si="30"/>
        <v>1168328511.6666665</v>
      </c>
      <c r="I63" s="183">
        <f t="shared" si="30"/>
        <v>1168328511.6666665</v>
      </c>
      <c r="J63" s="183">
        <f t="shared" si="30"/>
        <v>1168328511.6666665</v>
      </c>
      <c r="K63" s="183">
        <f t="shared" si="30"/>
        <v>1168328511.6666665</v>
      </c>
      <c r="L63" s="183">
        <f t="shared" si="30"/>
        <v>1168328511.6666665</v>
      </c>
      <c r="M63" s="183">
        <f t="shared" si="30"/>
        <v>1168328511.6666665</v>
      </c>
      <c r="N63" s="183">
        <f t="shared" si="30"/>
        <v>1168328511.6666665</v>
      </c>
      <c r="O63" s="183">
        <f t="shared" si="30"/>
        <v>1168328511.6666665</v>
      </c>
      <c r="P63" s="183">
        <f>IF(O63+P61-P62&lt;0,0,O63+P61-P62)</f>
        <v>1168328511.6666665</v>
      </c>
    </row>
    <row r="64" spans="1:16" s="191" customFormat="1" ht="13.5" customHeight="1">
      <c r="A64" s="195">
        <f t="shared" si="28"/>
        <v>2029</v>
      </c>
      <c r="B64" s="189" t="s">
        <v>241</v>
      </c>
      <c r="C64" s="192" t="s">
        <v>242</v>
      </c>
      <c r="D64" s="187">
        <f>D36</f>
        <v>365</v>
      </c>
      <c r="E64" s="187">
        <v>31</v>
      </c>
      <c r="F64" s="187">
        <v>28</v>
      </c>
      <c r="G64" s="187">
        <v>31</v>
      </c>
      <c r="H64" s="187">
        <v>30</v>
      </c>
      <c r="I64" s="187">
        <v>31</v>
      </c>
      <c r="J64" s="187">
        <v>30</v>
      </c>
      <c r="K64" s="187">
        <v>31</v>
      </c>
      <c r="L64" s="187">
        <v>31</v>
      </c>
      <c r="M64" s="187">
        <v>30</v>
      </c>
      <c r="N64" s="187">
        <v>31</v>
      </c>
      <c r="O64" s="187">
        <v>30</v>
      </c>
      <c r="P64" s="187">
        <v>31</v>
      </c>
    </row>
    <row r="65" spans="1:17" s="171" customFormat="1" ht="13.5" customHeight="1">
      <c r="A65" s="173">
        <f t="shared" si="28"/>
        <v>2029</v>
      </c>
      <c r="B65" s="180" t="s">
        <v>243</v>
      </c>
      <c r="C65" s="181" t="s">
        <v>105</v>
      </c>
      <c r="D65" s="188">
        <f>SUM(E65:P65)</f>
        <v>35049855.350000001</v>
      </c>
      <c r="E65" s="187">
        <f>E63*E64/$D$64*$D$7</f>
        <v>2976837.029726027</v>
      </c>
      <c r="F65" s="187">
        <f t="shared" ref="F65:P65" si="31">F63*F64/$D$64*$D$7</f>
        <v>2688756.026849315</v>
      </c>
      <c r="G65" s="187">
        <f t="shared" si="31"/>
        <v>2976837.029726027</v>
      </c>
      <c r="H65" s="187">
        <f t="shared" si="31"/>
        <v>2880810.0287671224</v>
      </c>
      <c r="I65" s="187">
        <f t="shared" si="31"/>
        <v>2976837.029726027</v>
      </c>
      <c r="J65" s="187">
        <f t="shared" si="31"/>
        <v>2880810.0287671224</v>
      </c>
      <c r="K65" s="187">
        <f t="shared" si="31"/>
        <v>2976837.029726027</v>
      </c>
      <c r="L65" s="187">
        <f t="shared" si="31"/>
        <v>2976837.029726027</v>
      </c>
      <c r="M65" s="187">
        <f t="shared" si="31"/>
        <v>2880810.0287671224</v>
      </c>
      <c r="N65" s="187">
        <f t="shared" si="31"/>
        <v>2976837.029726027</v>
      </c>
      <c r="O65" s="187">
        <f t="shared" si="31"/>
        <v>2880810.0287671224</v>
      </c>
      <c r="P65" s="187">
        <f t="shared" si="31"/>
        <v>2976837.029726027</v>
      </c>
    </row>
    <row r="66" spans="1:17" s="171" customFormat="1" ht="13.5" customHeight="1">
      <c r="A66" s="173">
        <f t="shared" si="28"/>
        <v>2029</v>
      </c>
      <c r="B66" s="180" t="s">
        <v>244</v>
      </c>
      <c r="C66" s="181" t="s">
        <v>105</v>
      </c>
      <c r="D66" s="187">
        <f>SUM(E66:P66)</f>
        <v>35049855.350000001</v>
      </c>
      <c r="E66" s="187">
        <f t="shared" ref="E66:P66" si="32">E62+E65</f>
        <v>2976837.029726027</v>
      </c>
      <c r="F66" s="187">
        <f t="shared" si="32"/>
        <v>2688756.026849315</v>
      </c>
      <c r="G66" s="187">
        <f t="shared" si="32"/>
        <v>2976837.029726027</v>
      </c>
      <c r="H66" s="187">
        <f t="shared" si="32"/>
        <v>2880810.0287671224</v>
      </c>
      <c r="I66" s="187">
        <f t="shared" si="32"/>
        <v>2976837.029726027</v>
      </c>
      <c r="J66" s="187">
        <f t="shared" si="32"/>
        <v>2880810.0287671224</v>
      </c>
      <c r="K66" s="187">
        <f t="shared" si="32"/>
        <v>2976837.029726027</v>
      </c>
      <c r="L66" s="187">
        <f t="shared" si="32"/>
        <v>2976837.029726027</v>
      </c>
      <c r="M66" s="187">
        <f t="shared" si="32"/>
        <v>2880810.0287671224</v>
      </c>
      <c r="N66" s="187">
        <f t="shared" si="32"/>
        <v>2976837.029726027</v>
      </c>
      <c r="O66" s="187">
        <f t="shared" si="32"/>
        <v>2880810.0287671224</v>
      </c>
      <c r="P66" s="187">
        <f t="shared" si="32"/>
        <v>2976837.029726027</v>
      </c>
    </row>
    <row r="67" spans="1:17" s="171" customFormat="1" collapsed="1">
      <c r="B67" s="176" t="s">
        <v>225</v>
      </c>
      <c r="C67" s="177"/>
      <c r="D67" s="178">
        <f>D60+1</f>
        <v>2030</v>
      </c>
      <c r="E67" s="179" t="s">
        <v>226</v>
      </c>
      <c r="F67" s="179" t="s">
        <v>227</v>
      </c>
      <c r="G67" s="179" t="s">
        <v>228</v>
      </c>
      <c r="H67" s="179" t="s">
        <v>229</v>
      </c>
      <c r="I67" s="179" t="s">
        <v>230</v>
      </c>
      <c r="J67" s="179" t="s">
        <v>231</v>
      </c>
      <c r="K67" s="179" t="s">
        <v>232</v>
      </c>
      <c r="L67" s="179" t="s">
        <v>233</v>
      </c>
      <c r="M67" s="179" t="s">
        <v>234</v>
      </c>
      <c r="N67" s="179" t="s">
        <v>235</v>
      </c>
      <c r="O67" s="179" t="s">
        <v>236</v>
      </c>
      <c r="P67" s="179" t="s">
        <v>237</v>
      </c>
    </row>
    <row r="68" spans="1:17" s="171" customFormat="1" ht="13.5" customHeight="1">
      <c r="A68" s="173">
        <f t="shared" ref="A68" si="33">D67</f>
        <v>2030</v>
      </c>
      <c r="B68" s="180" t="s">
        <v>238</v>
      </c>
      <c r="C68" s="181" t="s">
        <v>105</v>
      </c>
      <c r="D68" s="183">
        <f>SUM(E68:P68)</f>
        <v>0</v>
      </c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</row>
    <row r="69" spans="1:17" s="171" customFormat="1" ht="13.5" customHeight="1">
      <c r="A69" s="173">
        <f t="shared" ref="A69:A73" si="34">A68</f>
        <v>2030</v>
      </c>
      <c r="B69" s="180" t="s">
        <v>239</v>
      </c>
      <c r="C69" s="181" t="s">
        <v>105</v>
      </c>
      <c r="D69" s="188">
        <f>SUM(E69:P69)</f>
        <v>0</v>
      </c>
      <c r="E69" s="183">
        <f>P62</f>
        <v>0</v>
      </c>
      <c r="F69" s="183">
        <f>E69</f>
        <v>0</v>
      </c>
      <c r="G69" s="183">
        <f t="shared" ref="G69:P69" si="35">F69</f>
        <v>0</v>
      </c>
      <c r="H69" s="183">
        <f t="shared" si="35"/>
        <v>0</v>
      </c>
      <c r="I69" s="183">
        <f t="shared" si="35"/>
        <v>0</v>
      </c>
      <c r="J69" s="183">
        <f t="shared" si="35"/>
        <v>0</v>
      </c>
      <c r="K69" s="183">
        <f t="shared" si="35"/>
        <v>0</v>
      </c>
      <c r="L69" s="183">
        <f t="shared" si="35"/>
        <v>0</v>
      </c>
      <c r="M69" s="183">
        <f t="shared" si="35"/>
        <v>0</v>
      </c>
      <c r="N69" s="183">
        <f t="shared" si="35"/>
        <v>0</v>
      </c>
      <c r="O69" s="183">
        <f t="shared" si="35"/>
        <v>0</v>
      </c>
      <c r="P69" s="183">
        <f t="shared" si="35"/>
        <v>0</v>
      </c>
    </row>
    <row r="70" spans="1:17" s="171" customFormat="1" ht="13.5" customHeight="1">
      <c r="A70" s="173">
        <f t="shared" si="34"/>
        <v>2030</v>
      </c>
      <c r="B70" s="180" t="s">
        <v>240</v>
      </c>
      <c r="C70" s="181" t="s">
        <v>105</v>
      </c>
      <c r="D70" s="184"/>
      <c r="E70" s="183">
        <f>IF(P63+E68-E69&lt;0,0,P63+E68-E69)</f>
        <v>1168328511.6666665</v>
      </c>
      <c r="F70" s="183">
        <f>IF(E70+F68-F69&lt;0,0,E70+F68-F69)</f>
        <v>1168328511.6666665</v>
      </c>
      <c r="G70" s="183">
        <f t="shared" ref="G70:O70" si="36">IF(F70+G68-G69&lt;0,0,F70+G68-G69)</f>
        <v>1168328511.6666665</v>
      </c>
      <c r="H70" s="183">
        <f t="shared" si="36"/>
        <v>1168328511.6666665</v>
      </c>
      <c r="I70" s="183">
        <f t="shared" si="36"/>
        <v>1168328511.6666665</v>
      </c>
      <c r="J70" s="183">
        <f t="shared" si="36"/>
        <v>1168328511.6666665</v>
      </c>
      <c r="K70" s="183">
        <f t="shared" si="36"/>
        <v>1168328511.6666665</v>
      </c>
      <c r="L70" s="183">
        <f t="shared" si="36"/>
        <v>1168328511.6666665</v>
      </c>
      <c r="M70" s="183">
        <f t="shared" si="36"/>
        <v>1168328511.6666665</v>
      </c>
      <c r="N70" s="183">
        <f t="shared" si="36"/>
        <v>1168328511.6666665</v>
      </c>
      <c r="O70" s="183">
        <f t="shared" si="36"/>
        <v>1168328511.6666665</v>
      </c>
      <c r="P70" s="228">
        <f>IF(O70+P68-P69&lt;0,0,O70+P68-P69)</f>
        <v>1168328511.6666665</v>
      </c>
    </row>
    <row r="71" spans="1:17" s="171" customFormat="1" ht="13.5" customHeight="1">
      <c r="A71" s="195">
        <f t="shared" si="34"/>
        <v>2030</v>
      </c>
      <c r="B71" s="180" t="s">
        <v>241</v>
      </c>
      <c r="C71" s="185" t="s">
        <v>242</v>
      </c>
      <c r="D71" s="184">
        <f>D64</f>
        <v>365</v>
      </c>
      <c r="E71" s="183">
        <v>31</v>
      </c>
      <c r="F71" s="183">
        <v>28</v>
      </c>
      <c r="G71" s="183">
        <v>31</v>
      </c>
      <c r="H71" s="183">
        <v>30</v>
      </c>
      <c r="I71" s="183">
        <v>31</v>
      </c>
      <c r="J71" s="183">
        <v>30</v>
      </c>
      <c r="K71" s="183">
        <v>31</v>
      </c>
      <c r="L71" s="183">
        <v>31</v>
      </c>
      <c r="M71" s="183">
        <v>30</v>
      </c>
      <c r="N71" s="183">
        <v>31</v>
      </c>
      <c r="O71" s="183">
        <v>30</v>
      </c>
      <c r="P71" s="183">
        <v>31</v>
      </c>
      <c r="Q71" s="173"/>
    </row>
    <row r="72" spans="1:17" s="171" customFormat="1" ht="13.5" customHeight="1">
      <c r="A72" s="173">
        <f t="shared" si="34"/>
        <v>2030</v>
      </c>
      <c r="B72" s="180" t="s">
        <v>243</v>
      </c>
      <c r="C72" s="181" t="s">
        <v>105</v>
      </c>
      <c r="D72" s="188">
        <f>SUM(E72:P72)</f>
        <v>35049855.350000001</v>
      </c>
      <c r="E72" s="187">
        <f>E70*E71/$D$71*$D$7</f>
        <v>2976837.029726027</v>
      </c>
      <c r="F72" s="187">
        <f t="shared" ref="F72:P72" si="37">F70*F71/$D$71*$D$7</f>
        <v>2688756.026849315</v>
      </c>
      <c r="G72" s="187">
        <f t="shared" si="37"/>
        <v>2976837.029726027</v>
      </c>
      <c r="H72" s="187">
        <f t="shared" si="37"/>
        <v>2880810.0287671224</v>
      </c>
      <c r="I72" s="187">
        <f t="shared" si="37"/>
        <v>2976837.029726027</v>
      </c>
      <c r="J72" s="187">
        <f t="shared" si="37"/>
        <v>2880810.0287671224</v>
      </c>
      <c r="K72" s="187">
        <f t="shared" si="37"/>
        <v>2976837.029726027</v>
      </c>
      <c r="L72" s="187">
        <f t="shared" si="37"/>
        <v>2976837.029726027</v>
      </c>
      <c r="M72" s="187">
        <f t="shared" si="37"/>
        <v>2880810.0287671224</v>
      </c>
      <c r="N72" s="187">
        <f t="shared" si="37"/>
        <v>2976837.029726027</v>
      </c>
      <c r="O72" s="187">
        <f t="shared" si="37"/>
        <v>2880810.0287671224</v>
      </c>
      <c r="P72" s="187">
        <f t="shared" si="37"/>
        <v>2976837.029726027</v>
      </c>
      <c r="Q72" s="173"/>
    </row>
    <row r="73" spans="1:17" s="171" customFormat="1" ht="13.5" customHeight="1">
      <c r="A73" s="173">
        <f t="shared" si="34"/>
        <v>2030</v>
      </c>
      <c r="B73" s="180" t="s">
        <v>244</v>
      </c>
      <c r="C73" s="181" t="s">
        <v>105</v>
      </c>
      <c r="D73" s="187">
        <f>SUM(E73:P73)</f>
        <v>35049855.350000001</v>
      </c>
      <c r="E73" s="187">
        <f t="shared" ref="E73:P73" si="38">E69+E72</f>
        <v>2976837.029726027</v>
      </c>
      <c r="F73" s="187">
        <f t="shared" si="38"/>
        <v>2688756.026849315</v>
      </c>
      <c r="G73" s="187">
        <f t="shared" si="38"/>
        <v>2976837.029726027</v>
      </c>
      <c r="H73" s="187">
        <f t="shared" si="38"/>
        <v>2880810.0287671224</v>
      </c>
      <c r="I73" s="187">
        <f t="shared" si="38"/>
        <v>2976837.029726027</v>
      </c>
      <c r="J73" s="187">
        <f t="shared" si="38"/>
        <v>2880810.0287671224</v>
      </c>
      <c r="K73" s="187">
        <f t="shared" si="38"/>
        <v>2976837.029726027</v>
      </c>
      <c r="L73" s="187">
        <f t="shared" si="38"/>
        <v>2976837.029726027</v>
      </c>
      <c r="M73" s="187">
        <f t="shared" si="38"/>
        <v>2880810.0287671224</v>
      </c>
      <c r="N73" s="187">
        <f t="shared" si="38"/>
        <v>2976837.029726027</v>
      </c>
      <c r="O73" s="187">
        <f t="shared" si="38"/>
        <v>2880810.0287671224</v>
      </c>
      <c r="P73" s="187">
        <f t="shared" si="38"/>
        <v>2976837.029726027</v>
      </c>
      <c r="Q73" s="173"/>
    </row>
    <row r="74" spans="1:17" s="171" customFormat="1" collapsed="1">
      <c r="B74" s="176" t="str">
        <f>B67</f>
        <v>Период</v>
      </c>
      <c r="C74" s="177"/>
      <c r="D74" s="178">
        <f>D67+1</f>
        <v>2031</v>
      </c>
      <c r="E74" s="179" t="s">
        <v>226</v>
      </c>
      <c r="F74" s="179" t="s">
        <v>227</v>
      </c>
      <c r="G74" s="179" t="s">
        <v>228</v>
      </c>
      <c r="H74" s="179" t="s">
        <v>229</v>
      </c>
      <c r="I74" s="179" t="s">
        <v>230</v>
      </c>
      <c r="J74" s="179" t="s">
        <v>231</v>
      </c>
      <c r="K74" s="179" t="s">
        <v>232</v>
      </c>
      <c r="L74" s="179" t="s">
        <v>233</v>
      </c>
      <c r="M74" s="179" t="s">
        <v>234</v>
      </c>
      <c r="N74" s="179" t="s">
        <v>235</v>
      </c>
      <c r="O74" s="179" t="s">
        <v>236</v>
      </c>
      <c r="P74" s="179" t="s">
        <v>237</v>
      </c>
      <c r="Q74" s="173"/>
    </row>
    <row r="75" spans="1:17" s="171" customFormat="1" ht="13.5" customHeight="1" outlineLevel="1">
      <c r="A75" s="173">
        <f t="shared" ref="A75" si="39">D74</f>
        <v>2031</v>
      </c>
      <c r="B75" s="180" t="s">
        <v>238</v>
      </c>
      <c r="C75" s="181" t="s">
        <v>105</v>
      </c>
      <c r="D75" s="183">
        <f>SUM(E75:P75)</f>
        <v>0</v>
      </c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73"/>
    </row>
    <row r="76" spans="1:17" s="171" customFormat="1" ht="13.5" customHeight="1" outlineLevel="1">
      <c r="A76" s="173">
        <f t="shared" ref="A76:A80" si="40">A75</f>
        <v>2031</v>
      </c>
      <c r="B76" s="180" t="s">
        <v>239</v>
      </c>
      <c r="C76" s="181" t="s">
        <v>105</v>
      </c>
      <c r="D76" s="234">
        <f>SUM(E76:P76)</f>
        <v>146041063.95833334</v>
      </c>
      <c r="E76" s="183">
        <f>D5/8/12</f>
        <v>12170088.663194442</v>
      </c>
      <c r="F76" s="183">
        <f>E76</f>
        <v>12170088.663194442</v>
      </c>
      <c r="G76" s="183">
        <f t="shared" ref="G76:O76" si="41">F76</f>
        <v>12170088.663194442</v>
      </c>
      <c r="H76" s="183">
        <f t="shared" si="41"/>
        <v>12170088.663194442</v>
      </c>
      <c r="I76" s="183">
        <f t="shared" si="41"/>
        <v>12170088.663194442</v>
      </c>
      <c r="J76" s="183">
        <f t="shared" si="41"/>
        <v>12170088.663194442</v>
      </c>
      <c r="K76" s="183">
        <f t="shared" si="41"/>
        <v>12170088.663194442</v>
      </c>
      <c r="L76" s="183">
        <f t="shared" si="41"/>
        <v>12170088.663194442</v>
      </c>
      <c r="M76" s="183">
        <f t="shared" si="41"/>
        <v>12170088.663194442</v>
      </c>
      <c r="N76" s="183">
        <f t="shared" si="41"/>
        <v>12170088.663194442</v>
      </c>
      <c r="O76" s="183">
        <f t="shared" si="41"/>
        <v>12170088.663194442</v>
      </c>
      <c r="P76" s="187">
        <f>O76</f>
        <v>12170088.663194442</v>
      </c>
      <c r="Q76" s="173"/>
    </row>
    <row r="77" spans="1:17" s="171" customFormat="1" ht="13.5" customHeight="1" outlineLevel="1">
      <c r="A77" s="173">
        <f t="shared" si="40"/>
        <v>2031</v>
      </c>
      <c r="B77" s="180" t="s">
        <v>240</v>
      </c>
      <c r="C77" s="181" t="s">
        <v>105</v>
      </c>
      <c r="D77" s="184"/>
      <c r="E77" s="183">
        <f>IF(P70+E75-E76&lt;0,0,P70+E75-E76)</f>
        <v>1156158423.0034721</v>
      </c>
      <c r="F77" s="183">
        <f>IF(E77+F75-F76&lt;0,0,E77+F75-F76)</f>
        <v>1143988334.3402777</v>
      </c>
      <c r="G77" s="183">
        <f t="shared" ref="G77:O77" si="42">IF(F77+G75-G76&lt;0,0,F77+G75-G76)</f>
        <v>1131818245.6770833</v>
      </c>
      <c r="H77" s="183">
        <f t="shared" si="42"/>
        <v>1119648157.0138888</v>
      </c>
      <c r="I77" s="183">
        <f t="shared" si="42"/>
        <v>1107478068.3506944</v>
      </c>
      <c r="J77" s="183">
        <f t="shared" si="42"/>
        <v>1095307979.6875</v>
      </c>
      <c r="K77" s="183">
        <f t="shared" si="42"/>
        <v>1083137891.0243056</v>
      </c>
      <c r="L77" s="183">
        <f t="shared" si="42"/>
        <v>1070967802.3611112</v>
      </c>
      <c r="M77" s="183">
        <f t="shared" si="42"/>
        <v>1058797713.6979167</v>
      </c>
      <c r="N77" s="183">
        <f t="shared" si="42"/>
        <v>1046627625.0347223</v>
      </c>
      <c r="O77" s="183">
        <f t="shared" si="42"/>
        <v>1034457536.3715279</v>
      </c>
      <c r="P77" s="183">
        <f>IF(O77+P75-P76&lt;0,0,O77+P75-P76)</f>
        <v>1022287447.7083335</v>
      </c>
      <c r="Q77" s="173"/>
    </row>
    <row r="78" spans="1:17" s="171" customFormat="1" ht="13.5" customHeight="1" outlineLevel="1">
      <c r="A78" s="195">
        <f t="shared" si="40"/>
        <v>2031</v>
      </c>
      <c r="B78" s="180" t="s">
        <v>241</v>
      </c>
      <c r="C78" s="185" t="s">
        <v>242</v>
      </c>
      <c r="D78" s="184">
        <f>D71</f>
        <v>365</v>
      </c>
      <c r="E78" s="183">
        <v>31</v>
      </c>
      <c r="F78" s="183">
        <v>28</v>
      </c>
      <c r="G78" s="183">
        <v>31</v>
      </c>
      <c r="H78" s="183">
        <v>30</v>
      </c>
      <c r="I78" s="183">
        <v>31</v>
      </c>
      <c r="J78" s="183">
        <v>30</v>
      </c>
      <c r="K78" s="183">
        <v>31</v>
      </c>
      <c r="L78" s="183">
        <v>31</v>
      </c>
      <c r="M78" s="183">
        <v>30</v>
      </c>
      <c r="N78" s="183">
        <v>31</v>
      </c>
      <c r="O78" s="183">
        <v>30</v>
      </c>
      <c r="P78" s="183">
        <v>31</v>
      </c>
      <c r="Q78" s="173"/>
    </row>
    <row r="79" spans="1:17" s="171" customFormat="1" outlineLevel="1">
      <c r="A79" s="173">
        <f t="shared" si="40"/>
        <v>2031</v>
      </c>
      <c r="B79" s="180" t="s">
        <v>243</v>
      </c>
      <c r="C79" s="181" t="s">
        <v>105</v>
      </c>
      <c r="D79" s="188">
        <f>SUM(E79:P79)</f>
        <v>32667185.388707191</v>
      </c>
      <c r="E79" s="187">
        <f>E77*E78/$D$78*$D$7</f>
        <v>2945828.3106663809</v>
      </c>
      <c r="F79" s="187">
        <f t="shared" ref="F79:P79" si="43">F77*F78/$D$78*$D$7</f>
        <v>2632740.2762899539</v>
      </c>
      <c r="G79" s="187">
        <f t="shared" si="43"/>
        <v>2883810.8725470887</v>
      </c>
      <c r="H79" s="187">
        <f t="shared" si="43"/>
        <v>2760776.277568493</v>
      </c>
      <c r="I79" s="187">
        <f t="shared" si="43"/>
        <v>2821793.4344277969</v>
      </c>
      <c r="J79" s="187">
        <f t="shared" si="43"/>
        <v>2700759.4019691781</v>
      </c>
      <c r="K79" s="187">
        <f t="shared" si="43"/>
        <v>2759775.9963085046</v>
      </c>
      <c r="L79" s="187">
        <f t="shared" si="43"/>
        <v>2728767.2772488585</v>
      </c>
      <c r="M79" s="187">
        <f t="shared" si="43"/>
        <v>2610734.0885702055</v>
      </c>
      <c r="N79" s="187">
        <f t="shared" si="43"/>
        <v>2666749.8391295667</v>
      </c>
      <c r="O79" s="187">
        <f t="shared" si="43"/>
        <v>2550717.2129708906</v>
      </c>
      <c r="P79" s="187">
        <f t="shared" si="43"/>
        <v>2604732.4010102744</v>
      </c>
      <c r="Q79" s="173"/>
    </row>
    <row r="80" spans="1:17" s="171" customFormat="1" outlineLevel="1">
      <c r="A80" s="173">
        <f t="shared" si="40"/>
        <v>2031</v>
      </c>
      <c r="B80" s="180" t="s">
        <v>244</v>
      </c>
      <c r="C80" s="181" t="s">
        <v>105</v>
      </c>
      <c r="D80" s="187">
        <f>SUM(E80:P80)</f>
        <v>178708249.34704053</v>
      </c>
      <c r="E80" s="187">
        <f t="shared" ref="E80:P80" si="44">E76+E79</f>
        <v>15115916.973860823</v>
      </c>
      <c r="F80" s="187">
        <f t="shared" si="44"/>
        <v>14802828.939484395</v>
      </c>
      <c r="G80" s="187">
        <f t="shared" si="44"/>
        <v>15053899.53574153</v>
      </c>
      <c r="H80" s="187">
        <f t="shared" si="44"/>
        <v>14930864.940762935</v>
      </c>
      <c r="I80" s="187">
        <f t="shared" si="44"/>
        <v>14991882.097622238</v>
      </c>
      <c r="J80" s="187">
        <f t="shared" si="44"/>
        <v>14870848.06516362</v>
      </c>
      <c r="K80" s="187">
        <f t="shared" si="44"/>
        <v>14929864.659502946</v>
      </c>
      <c r="L80" s="187">
        <f t="shared" si="44"/>
        <v>14898855.9404433</v>
      </c>
      <c r="M80" s="187">
        <f t="shared" si="44"/>
        <v>14780822.751764648</v>
      </c>
      <c r="N80" s="187">
        <f t="shared" si="44"/>
        <v>14836838.502324009</v>
      </c>
      <c r="O80" s="187">
        <f t="shared" si="44"/>
        <v>14720805.876165332</v>
      </c>
      <c r="P80" s="187">
        <f t="shared" si="44"/>
        <v>14774821.064204717</v>
      </c>
      <c r="Q80" s="173"/>
    </row>
    <row r="81" spans="1:17" s="171" customFormat="1">
      <c r="B81" s="176" t="str">
        <f>B74</f>
        <v>Период</v>
      </c>
      <c r="C81" s="177"/>
      <c r="D81" s="178">
        <f>D74+1</f>
        <v>2032</v>
      </c>
      <c r="E81" s="179" t="s">
        <v>226</v>
      </c>
      <c r="F81" s="179" t="s">
        <v>227</v>
      </c>
      <c r="G81" s="179" t="s">
        <v>228</v>
      </c>
      <c r="H81" s="179" t="s">
        <v>229</v>
      </c>
      <c r="I81" s="179" t="s">
        <v>230</v>
      </c>
      <c r="J81" s="179" t="s">
        <v>231</v>
      </c>
      <c r="K81" s="179" t="s">
        <v>232</v>
      </c>
      <c r="L81" s="179" t="s">
        <v>233</v>
      </c>
      <c r="M81" s="179" t="s">
        <v>234</v>
      </c>
      <c r="N81" s="179" t="s">
        <v>235</v>
      </c>
      <c r="O81" s="179" t="s">
        <v>236</v>
      </c>
      <c r="P81" s="179" t="s">
        <v>237</v>
      </c>
      <c r="Q81" s="173"/>
    </row>
    <row r="82" spans="1:17" s="171" customFormat="1" ht="13.5" customHeight="1" outlineLevel="1">
      <c r="A82" s="173">
        <f t="shared" ref="A82" si="45">D81</f>
        <v>2032</v>
      </c>
      <c r="B82" s="180" t="s">
        <v>238</v>
      </c>
      <c r="C82" s="181" t="s">
        <v>105</v>
      </c>
      <c r="D82" s="183">
        <f>SUM(E82:P82)</f>
        <v>0</v>
      </c>
      <c r="E82" s="183"/>
      <c r="F82" s="183"/>
      <c r="G82" s="183"/>
      <c r="H82" s="183"/>
      <c r="I82" s="183"/>
      <c r="J82" s="183"/>
      <c r="K82" s="183"/>
      <c r="L82" s="183"/>
      <c r="M82" s="183"/>
      <c r="N82" s="183"/>
      <c r="O82" s="183"/>
      <c r="P82" s="182"/>
      <c r="Q82" s="173"/>
    </row>
    <row r="83" spans="1:17" s="171" customFormat="1" ht="13.5" customHeight="1" outlineLevel="1">
      <c r="A83" s="173">
        <f t="shared" ref="A83:A87" si="46">A82</f>
        <v>2032</v>
      </c>
      <c r="B83" s="180" t="s">
        <v>239</v>
      </c>
      <c r="C83" s="181" t="s">
        <v>105</v>
      </c>
      <c r="D83" s="188">
        <f>SUM(E83:P83)</f>
        <v>146041063.95833334</v>
      </c>
      <c r="E83" s="183">
        <f>P76</f>
        <v>12170088.663194442</v>
      </c>
      <c r="F83" s="183">
        <f>E83</f>
        <v>12170088.663194442</v>
      </c>
      <c r="G83" s="183">
        <f t="shared" ref="G83:P83" si="47">F83</f>
        <v>12170088.663194442</v>
      </c>
      <c r="H83" s="183">
        <f t="shared" si="47"/>
        <v>12170088.663194442</v>
      </c>
      <c r="I83" s="183">
        <f t="shared" si="47"/>
        <v>12170088.663194442</v>
      </c>
      <c r="J83" s="183">
        <f t="shared" si="47"/>
        <v>12170088.663194442</v>
      </c>
      <c r="K83" s="183">
        <f t="shared" si="47"/>
        <v>12170088.663194442</v>
      </c>
      <c r="L83" s="183">
        <f t="shared" si="47"/>
        <v>12170088.663194442</v>
      </c>
      <c r="M83" s="183">
        <f t="shared" si="47"/>
        <v>12170088.663194442</v>
      </c>
      <c r="N83" s="183">
        <f t="shared" si="47"/>
        <v>12170088.663194442</v>
      </c>
      <c r="O83" s="183">
        <f t="shared" si="47"/>
        <v>12170088.663194442</v>
      </c>
      <c r="P83" s="183">
        <f t="shared" si="47"/>
        <v>12170088.663194442</v>
      </c>
      <c r="Q83" s="173"/>
    </row>
    <row r="84" spans="1:17" s="171" customFormat="1" ht="13.5" customHeight="1" outlineLevel="1">
      <c r="A84" s="173">
        <f t="shared" si="46"/>
        <v>2032</v>
      </c>
      <c r="B84" s="180" t="s">
        <v>240</v>
      </c>
      <c r="C84" s="181" t="s">
        <v>105</v>
      </c>
      <c r="D84" s="184"/>
      <c r="E84" s="183">
        <f>IF(P77+E82-E83&lt;0,0,P77+E82-E83)</f>
        <v>1010117359.0451391</v>
      </c>
      <c r="F84" s="183">
        <f>IF(E84+F82-F83&lt;0,0,E84+F82-F83)</f>
        <v>997947270.38194466</v>
      </c>
      <c r="G84" s="183">
        <f t="shared" ref="G84:O84" si="48">IF(F84+G82-G83&lt;0,0,F84+G82-G83)</f>
        <v>985777181.71875024</v>
      </c>
      <c r="H84" s="183">
        <f t="shared" si="48"/>
        <v>973607093.05555582</v>
      </c>
      <c r="I84" s="183">
        <f t="shared" si="48"/>
        <v>961437004.3923614</v>
      </c>
      <c r="J84" s="183">
        <f t="shared" si="48"/>
        <v>949266915.72916698</v>
      </c>
      <c r="K84" s="183">
        <f t="shared" si="48"/>
        <v>937096827.06597257</v>
      </c>
      <c r="L84" s="183">
        <f t="shared" si="48"/>
        <v>924926738.40277815</v>
      </c>
      <c r="M84" s="183">
        <f t="shared" si="48"/>
        <v>912756649.73958373</v>
      </c>
      <c r="N84" s="183">
        <f t="shared" si="48"/>
        <v>900586561.07638931</v>
      </c>
      <c r="O84" s="183">
        <f t="shared" si="48"/>
        <v>888416472.41319489</v>
      </c>
      <c r="P84" s="183">
        <f>IF(O84+P82-P83&lt;0,0,O84+P82-P83)</f>
        <v>876246383.75000048</v>
      </c>
      <c r="Q84" s="173"/>
    </row>
    <row r="85" spans="1:17" s="171" customFormat="1" ht="13.5" customHeight="1" outlineLevel="1">
      <c r="A85" s="195">
        <f t="shared" si="46"/>
        <v>2032</v>
      </c>
      <c r="B85" s="180" t="s">
        <v>241</v>
      </c>
      <c r="C85" s="185" t="s">
        <v>242</v>
      </c>
      <c r="D85" s="384">
        <v>366</v>
      </c>
      <c r="E85" s="183">
        <v>31</v>
      </c>
      <c r="F85" s="183">
        <v>29</v>
      </c>
      <c r="G85" s="183">
        <v>31</v>
      </c>
      <c r="H85" s="183">
        <v>30</v>
      </c>
      <c r="I85" s="183">
        <v>31</v>
      </c>
      <c r="J85" s="183">
        <v>30</v>
      </c>
      <c r="K85" s="183">
        <v>31</v>
      </c>
      <c r="L85" s="183">
        <v>31</v>
      </c>
      <c r="M85" s="183">
        <v>30</v>
      </c>
      <c r="N85" s="183">
        <v>31</v>
      </c>
      <c r="O85" s="183">
        <v>30</v>
      </c>
      <c r="P85" s="183">
        <v>31</v>
      </c>
      <c r="Q85" s="173"/>
    </row>
    <row r="86" spans="1:17" s="171" customFormat="1" outlineLevel="1">
      <c r="A86" s="173">
        <f t="shared" si="46"/>
        <v>2032</v>
      </c>
      <c r="B86" s="180" t="s">
        <v>243</v>
      </c>
      <c r="C86" s="181" t="s">
        <v>105</v>
      </c>
      <c r="D86" s="188">
        <f>SUM(E86:P86)</f>
        <v>28290468.400671683</v>
      </c>
      <c r="E86" s="187">
        <f>E84*E85/$D$85*$D$7</f>
        <v>2566691.6500327303</v>
      </c>
      <c r="F86" s="187">
        <f t="shared" ref="F86:P86" si="49">F84*F85/$D$85*$D$7</f>
        <v>2372169.7410718352</v>
      </c>
      <c r="G86" s="187">
        <f t="shared" si="49"/>
        <v>2504843.6584656769</v>
      </c>
      <c r="H86" s="187">
        <f t="shared" si="49"/>
        <v>2394115.8025956289</v>
      </c>
      <c r="I86" s="187">
        <f t="shared" si="49"/>
        <v>2442995.6668986231</v>
      </c>
      <c r="J86" s="187">
        <f t="shared" si="49"/>
        <v>2334262.9075307385</v>
      </c>
      <c r="K86" s="187">
        <f t="shared" si="49"/>
        <v>2381147.6753315697</v>
      </c>
      <c r="L86" s="187">
        <f t="shared" si="49"/>
        <v>2350223.6795480428</v>
      </c>
      <c r="M86" s="187">
        <f t="shared" si="49"/>
        <v>2244483.5649334025</v>
      </c>
      <c r="N86" s="187">
        <f t="shared" si="49"/>
        <v>2288375.687980989</v>
      </c>
      <c r="O86" s="187">
        <f t="shared" si="49"/>
        <v>2184630.6698685121</v>
      </c>
      <c r="P86" s="187">
        <f t="shared" si="49"/>
        <v>2226527.6964139356</v>
      </c>
      <c r="Q86" s="173"/>
    </row>
    <row r="87" spans="1:17" s="171" customFormat="1" outlineLevel="1">
      <c r="A87" s="173">
        <f t="shared" si="46"/>
        <v>2032</v>
      </c>
      <c r="B87" s="180" t="s">
        <v>244</v>
      </c>
      <c r="C87" s="181" t="s">
        <v>105</v>
      </c>
      <c r="D87" s="187">
        <f>SUM(E87:P87)</f>
        <v>174331532.359005</v>
      </c>
      <c r="E87" s="187">
        <f t="shared" ref="E87:P87" si="50">E83+E86</f>
        <v>14736780.313227173</v>
      </c>
      <c r="F87" s="187">
        <f t="shared" si="50"/>
        <v>14542258.404266277</v>
      </c>
      <c r="G87" s="187">
        <f t="shared" si="50"/>
        <v>14674932.32166012</v>
      </c>
      <c r="H87" s="187">
        <f t="shared" si="50"/>
        <v>14564204.465790071</v>
      </c>
      <c r="I87" s="187">
        <f t="shared" si="50"/>
        <v>14613084.330093065</v>
      </c>
      <c r="J87" s="187">
        <f t="shared" si="50"/>
        <v>14504351.57072518</v>
      </c>
      <c r="K87" s="187">
        <f t="shared" si="50"/>
        <v>14551236.338526012</v>
      </c>
      <c r="L87" s="187">
        <f t="shared" si="50"/>
        <v>14520312.342742484</v>
      </c>
      <c r="M87" s="187">
        <f t="shared" si="50"/>
        <v>14414572.228127845</v>
      </c>
      <c r="N87" s="187">
        <f t="shared" si="50"/>
        <v>14458464.351175431</v>
      </c>
      <c r="O87" s="187">
        <f t="shared" si="50"/>
        <v>14354719.333062954</v>
      </c>
      <c r="P87" s="187">
        <f t="shared" si="50"/>
        <v>14396616.359608378</v>
      </c>
      <c r="Q87" s="173"/>
    </row>
    <row r="88" spans="1:17" s="171" customFormat="1">
      <c r="B88" s="176" t="str">
        <f>B81</f>
        <v>Период</v>
      </c>
      <c r="C88" s="177"/>
      <c r="D88" s="178">
        <f>D81+1</f>
        <v>2033</v>
      </c>
      <c r="E88" s="179" t="s">
        <v>226</v>
      </c>
      <c r="F88" s="179" t="s">
        <v>227</v>
      </c>
      <c r="G88" s="179" t="s">
        <v>228</v>
      </c>
      <c r="H88" s="179" t="s">
        <v>229</v>
      </c>
      <c r="I88" s="179" t="s">
        <v>230</v>
      </c>
      <c r="J88" s="179" t="s">
        <v>231</v>
      </c>
      <c r="K88" s="179" t="s">
        <v>232</v>
      </c>
      <c r="L88" s="179" t="s">
        <v>233</v>
      </c>
      <c r="M88" s="179" t="s">
        <v>234</v>
      </c>
      <c r="N88" s="179" t="s">
        <v>235</v>
      </c>
      <c r="O88" s="179" t="s">
        <v>236</v>
      </c>
      <c r="P88" s="179" t="s">
        <v>237</v>
      </c>
      <c r="Q88" s="173"/>
    </row>
    <row r="89" spans="1:17" s="171" customFormat="1" ht="13.5" customHeight="1" outlineLevel="1">
      <c r="A89" s="173">
        <f t="shared" ref="A89" si="51">D88</f>
        <v>2033</v>
      </c>
      <c r="B89" s="180" t="s">
        <v>238</v>
      </c>
      <c r="C89" s="181" t="s">
        <v>105</v>
      </c>
      <c r="D89" s="183">
        <f>SUM(E89:P89)</f>
        <v>0</v>
      </c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2"/>
      <c r="Q89" s="173"/>
    </row>
    <row r="90" spans="1:17" s="171" customFormat="1" ht="13.5" customHeight="1" outlineLevel="1">
      <c r="A90" s="173">
        <f t="shared" ref="A90:A94" si="52">A89</f>
        <v>2033</v>
      </c>
      <c r="B90" s="180" t="s">
        <v>239</v>
      </c>
      <c r="C90" s="181" t="s">
        <v>105</v>
      </c>
      <c r="D90" s="188">
        <f>SUM(E90:P90)</f>
        <v>146041063.95833334</v>
      </c>
      <c r="E90" s="183">
        <f>P83</f>
        <v>12170088.663194442</v>
      </c>
      <c r="F90" s="183">
        <f>E90</f>
        <v>12170088.663194442</v>
      </c>
      <c r="G90" s="183">
        <f t="shared" ref="G90:P90" si="53">F90</f>
        <v>12170088.663194442</v>
      </c>
      <c r="H90" s="183">
        <f t="shared" si="53"/>
        <v>12170088.663194442</v>
      </c>
      <c r="I90" s="183">
        <f t="shared" si="53"/>
        <v>12170088.663194442</v>
      </c>
      <c r="J90" s="183">
        <f t="shared" si="53"/>
        <v>12170088.663194442</v>
      </c>
      <c r="K90" s="183">
        <f t="shared" si="53"/>
        <v>12170088.663194442</v>
      </c>
      <c r="L90" s="183">
        <f t="shared" si="53"/>
        <v>12170088.663194442</v>
      </c>
      <c r="M90" s="183">
        <f t="shared" si="53"/>
        <v>12170088.663194442</v>
      </c>
      <c r="N90" s="183">
        <f t="shared" si="53"/>
        <v>12170088.663194442</v>
      </c>
      <c r="O90" s="183">
        <f t="shared" si="53"/>
        <v>12170088.663194442</v>
      </c>
      <c r="P90" s="183">
        <f t="shared" si="53"/>
        <v>12170088.663194442</v>
      </c>
      <c r="Q90" s="173"/>
    </row>
    <row r="91" spans="1:17" s="171" customFormat="1" ht="13.5" customHeight="1" outlineLevel="1">
      <c r="A91" s="173">
        <f t="shared" si="52"/>
        <v>2033</v>
      </c>
      <c r="B91" s="180" t="s">
        <v>240</v>
      </c>
      <c r="C91" s="181" t="s">
        <v>105</v>
      </c>
      <c r="D91" s="184"/>
      <c r="E91" s="183">
        <f>IF(P84+E89-E90&lt;0,0,P84+E89-E90)</f>
        <v>864076295.08680606</v>
      </c>
      <c r="F91" s="183">
        <f>IF(E91+F89-F90&lt;0,0,E91+F89-F90)</f>
        <v>851906206.42361164</v>
      </c>
      <c r="G91" s="183">
        <f t="shared" ref="G91:N91" si="54">IF(F91+G89-G90&lt;0,0,F91+G89-G90)</f>
        <v>839736117.76041722</v>
      </c>
      <c r="H91" s="183">
        <f t="shared" si="54"/>
        <v>827566029.09722281</v>
      </c>
      <c r="I91" s="183">
        <f t="shared" si="54"/>
        <v>815395940.43402839</v>
      </c>
      <c r="J91" s="183">
        <f t="shared" si="54"/>
        <v>803225851.77083397</v>
      </c>
      <c r="K91" s="183">
        <f t="shared" si="54"/>
        <v>791055763.10763955</v>
      </c>
      <c r="L91" s="183">
        <f t="shared" si="54"/>
        <v>778885674.44444513</v>
      </c>
      <c r="M91" s="183">
        <f t="shared" si="54"/>
        <v>766715585.78125072</v>
      </c>
      <c r="N91" s="183">
        <f t="shared" si="54"/>
        <v>754545497.1180563</v>
      </c>
      <c r="O91" s="183">
        <f>IF(N91+O89-O90&lt;0,0,N91+O89-O90)</f>
        <v>742375408.45486188</v>
      </c>
      <c r="P91" s="183">
        <f>IF(O91+P89-P90&lt;0,0,O91+P89-P90)</f>
        <v>730205319.79166746</v>
      </c>
      <c r="Q91" s="173"/>
    </row>
    <row r="92" spans="1:17" s="171" customFormat="1" ht="13.5" customHeight="1" outlineLevel="1">
      <c r="A92" s="195">
        <f t="shared" si="52"/>
        <v>2033</v>
      </c>
      <c r="B92" s="180" t="s">
        <v>241</v>
      </c>
      <c r="C92" s="185" t="s">
        <v>242</v>
      </c>
      <c r="D92" s="184">
        <v>365</v>
      </c>
      <c r="E92" s="183">
        <v>31</v>
      </c>
      <c r="F92" s="183">
        <v>28</v>
      </c>
      <c r="G92" s="183">
        <v>31</v>
      </c>
      <c r="H92" s="183">
        <v>30</v>
      </c>
      <c r="I92" s="183">
        <v>31</v>
      </c>
      <c r="J92" s="183">
        <v>30</v>
      </c>
      <c r="K92" s="183">
        <v>31</v>
      </c>
      <c r="L92" s="183">
        <v>31</v>
      </c>
      <c r="M92" s="183">
        <v>30</v>
      </c>
      <c r="N92" s="183">
        <v>31</v>
      </c>
      <c r="O92" s="183">
        <v>30</v>
      </c>
      <c r="P92" s="183">
        <v>31</v>
      </c>
      <c r="Q92" s="173"/>
    </row>
    <row r="93" spans="1:17" s="171" customFormat="1" outlineLevel="1">
      <c r="A93" s="173">
        <f t="shared" si="52"/>
        <v>2033</v>
      </c>
      <c r="B93" s="180" t="s">
        <v>243</v>
      </c>
      <c r="C93" s="181" t="s">
        <v>105</v>
      </c>
      <c r="D93" s="188">
        <f>SUM(E93:P93)</f>
        <v>23904721.551207207</v>
      </c>
      <c r="E93" s="187">
        <f>E91*E92/$D$92*$D$7</f>
        <v>2201619.0532348757</v>
      </c>
      <c r="F93" s="187">
        <f t="shared" ref="F93:P93" si="55">F91*F92/$D$92*$D$7</f>
        <v>1960551.2695776266</v>
      </c>
      <c r="G93" s="187">
        <f t="shared" si="55"/>
        <v>2139601.6151155834</v>
      </c>
      <c r="H93" s="187">
        <f t="shared" si="55"/>
        <v>2040573.7703767137</v>
      </c>
      <c r="I93" s="187">
        <f t="shared" si="55"/>
        <v>2077584.1769962916</v>
      </c>
      <c r="J93" s="187">
        <f t="shared" si="55"/>
        <v>1980556.8947773988</v>
      </c>
      <c r="K93" s="187">
        <f t="shared" si="55"/>
        <v>2015566.7388769994</v>
      </c>
      <c r="L93" s="187">
        <f t="shared" si="55"/>
        <v>1984558.0198173532</v>
      </c>
      <c r="M93" s="187">
        <f t="shared" si="55"/>
        <v>1890531.5813784266</v>
      </c>
      <c r="N93" s="187">
        <f t="shared" si="55"/>
        <v>1922540.581698061</v>
      </c>
      <c r="O93" s="187">
        <f t="shared" si="55"/>
        <v>1830514.7057791112</v>
      </c>
      <c r="P93" s="187">
        <f t="shared" si="55"/>
        <v>1860523.1435787689</v>
      </c>
      <c r="Q93" s="173"/>
    </row>
    <row r="94" spans="1:17" s="171" customFormat="1" outlineLevel="1">
      <c r="A94" s="173">
        <f t="shared" si="52"/>
        <v>2033</v>
      </c>
      <c r="B94" s="180" t="s">
        <v>244</v>
      </c>
      <c r="C94" s="181" t="s">
        <v>105</v>
      </c>
      <c r="D94" s="187">
        <f>SUM(E94:P94)</f>
        <v>169945785.50954053</v>
      </c>
      <c r="E94" s="187">
        <f t="shared" ref="E94:P94" si="56">E90+E93</f>
        <v>14371707.716429317</v>
      </c>
      <c r="F94" s="187">
        <f t="shared" si="56"/>
        <v>14130639.932772068</v>
      </c>
      <c r="G94" s="187">
        <f t="shared" si="56"/>
        <v>14309690.278310025</v>
      </c>
      <c r="H94" s="187">
        <f t="shared" si="56"/>
        <v>14210662.433571156</v>
      </c>
      <c r="I94" s="187">
        <f t="shared" si="56"/>
        <v>14247672.840190735</v>
      </c>
      <c r="J94" s="187">
        <f t="shared" si="56"/>
        <v>14150645.557971841</v>
      </c>
      <c r="K94" s="187">
        <f t="shared" si="56"/>
        <v>14185655.402071442</v>
      </c>
      <c r="L94" s="187">
        <f t="shared" si="56"/>
        <v>14154646.683011796</v>
      </c>
      <c r="M94" s="187">
        <f t="shared" si="56"/>
        <v>14060620.244572869</v>
      </c>
      <c r="N94" s="187">
        <f t="shared" si="56"/>
        <v>14092629.244892504</v>
      </c>
      <c r="O94" s="187">
        <f t="shared" si="56"/>
        <v>14000603.368973553</v>
      </c>
      <c r="P94" s="187">
        <f t="shared" si="56"/>
        <v>14030611.806773212</v>
      </c>
      <c r="Q94" s="173"/>
    </row>
    <row r="95" spans="1:17" s="171" customFormat="1">
      <c r="B95" s="176" t="str">
        <f>B88</f>
        <v>Период</v>
      </c>
      <c r="C95" s="177"/>
      <c r="D95" s="178">
        <f>D88+1</f>
        <v>2034</v>
      </c>
      <c r="E95" s="179" t="s">
        <v>226</v>
      </c>
      <c r="F95" s="179" t="s">
        <v>227</v>
      </c>
      <c r="G95" s="179" t="s">
        <v>228</v>
      </c>
      <c r="H95" s="179" t="s">
        <v>229</v>
      </c>
      <c r="I95" s="179" t="s">
        <v>230</v>
      </c>
      <c r="J95" s="179" t="s">
        <v>231</v>
      </c>
      <c r="K95" s="179" t="s">
        <v>232</v>
      </c>
      <c r="L95" s="179" t="s">
        <v>233</v>
      </c>
      <c r="M95" s="179" t="s">
        <v>234</v>
      </c>
      <c r="N95" s="179" t="s">
        <v>235</v>
      </c>
      <c r="O95" s="179" t="s">
        <v>236</v>
      </c>
      <c r="P95" s="179" t="s">
        <v>237</v>
      </c>
      <c r="Q95" s="173"/>
    </row>
    <row r="96" spans="1:17" s="171" customFormat="1" ht="13.5" customHeight="1" outlineLevel="1">
      <c r="A96" s="173">
        <f t="shared" ref="A96" si="57">D95</f>
        <v>2034</v>
      </c>
      <c r="B96" s="180" t="s">
        <v>238</v>
      </c>
      <c r="C96" s="181" t="s">
        <v>105</v>
      </c>
      <c r="D96" s="183">
        <f>SUM(E96:P96)</f>
        <v>0</v>
      </c>
      <c r="E96" s="183"/>
      <c r="F96" s="183"/>
      <c r="G96" s="183"/>
      <c r="H96" s="183"/>
      <c r="I96" s="183"/>
      <c r="J96" s="183"/>
      <c r="K96" s="183"/>
      <c r="L96" s="183"/>
      <c r="M96" s="183"/>
      <c r="N96" s="183"/>
      <c r="O96" s="183"/>
      <c r="P96" s="182"/>
      <c r="Q96" s="173"/>
    </row>
    <row r="97" spans="1:17" s="171" customFormat="1" ht="13.5" customHeight="1" outlineLevel="1">
      <c r="A97" s="173">
        <f t="shared" ref="A97:A101" si="58">A96</f>
        <v>2034</v>
      </c>
      <c r="B97" s="180" t="s">
        <v>239</v>
      </c>
      <c r="C97" s="181" t="s">
        <v>105</v>
      </c>
      <c r="D97" s="188">
        <f>SUM(E97:P97)</f>
        <v>146041063.95833334</v>
      </c>
      <c r="E97" s="183">
        <f>P90</f>
        <v>12170088.663194442</v>
      </c>
      <c r="F97" s="183">
        <f>E97</f>
        <v>12170088.663194442</v>
      </c>
      <c r="G97" s="183">
        <f t="shared" ref="G97:P97" si="59">F97</f>
        <v>12170088.663194442</v>
      </c>
      <c r="H97" s="183">
        <f t="shared" si="59"/>
        <v>12170088.663194442</v>
      </c>
      <c r="I97" s="183">
        <f t="shared" si="59"/>
        <v>12170088.663194442</v>
      </c>
      <c r="J97" s="183">
        <f t="shared" si="59"/>
        <v>12170088.663194442</v>
      </c>
      <c r="K97" s="183">
        <f t="shared" si="59"/>
        <v>12170088.663194442</v>
      </c>
      <c r="L97" s="183">
        <f t="shared" si="59"/>
        <v>12170088.663194442</v>
      </c>
      <c r="M97" s="183">
        <f t="shared" si="59"/>
        <v>12170088.663194442</v>
      </c>
      <c r="N97" s="183">
        <f t="shared" si="59"/>
        <v>12170088.663194442</v>
      </c>
      <c r="O97" s="183">
        <f t="shared" si="59"/>
        <v>12170088.663194442</v>
      </c>
      <c r="P97" s="183">
        <f t="shared" si="59"/>
        <v>12170088.663194442</v>
      </c>
      <c r="Q97" s="173"/>
    </row>
    <row r="98" spans="1:17" s="171" customFormat="1" ht="13.5" customHeight="1" outlineLevel="1">
      <c r="A98" s="173">
        <f t="shared" si="58"/>
        <v>2034</v>
      </c>
      <c r="B98" s="180" t="s">
        <v>240</v>
      </c>
      <c r="C98" s="181" t="s">
        <v>105</v>
      </c>
      <c r="D98" s="184"/>
      <c r="E98" s="183">
        <f>IF(P91+E96-E97&lt;0,0,P91+E96-E97)</f>
        <v>718035231.12847304</v>
      </c>
      <c r="F98" s="183">
        <f>IF(E98+F96-F97&lt;0,0,E98+F96-F97)</f>
        <v>705865142.46527863</v>
      </c>
      <c r="G98" s="183">
        <f t="shared" ref="G98:O98" si="60">IF(F98+G96-G97&lt;0,0,F98+G96-G97)</f>
        <v>693695053.80208421</v>
      </c>
      <c r="H98" s="183">
        <f t="shared" si="60"/>
        <v>681524965.13888979</v>
      </c>
      <c r="I98" s="183">
        <f t="shared" si="60"/>
        <v>669354876.47569537</v>
      </c>
      <c r="J98" s="183">
        <f t="shared" si="60"/>
        <v>657184787.81250095</v>
      </c>
      <c r="K98" s="183">
        <f t="shared" si="60"/>
        <v>645014699.14930654</v>
      </c>
      <c r="L98" s="183">
        <f t="shared" si="60"/>
        <v>632844610.48611212</v>
      </c>
      <c r="M98" s="183">
        <f t="shared" si="60"/>
        <v>620674521.8229177</v>
      </c>
      <c r="N98" s="183">
        <f t="shared" si="60"/>
        <v>608504433.15972328</v>
      </c>
      <c r="O98" s="183">
        <f t="shared" si="60"/>
        <v>596334344.49652886</v>
      </c>
      <c r="P98" s="183">
        <f>IF(O98+P96-P97&lt;0,0,O98+P96-P97)</f>
        <v>584164255.83333445</v>
      </c>
      <c r="Q98" s="173"/>
    </row>
    <row r="99" spans="1:17" s="171" customFormat="1" ht="13.5" customHeight="1" outlineLevel="1">
      <c r="A99" s="195">
        <f t="shared" si="58"/>
        <v>2034</v>
      </c>
      <c r="B99" s="180" t="s">
        <v>241</v>
      </c>
      <c r="C99" s="185" t="s">
        <v>242</v>
      </c>
      <c r="D99" s="184">
        <v>365</v>
      </c>
      <c r="E99" s="183">
        <v>31</v>
      </c>
      <c r="F99" s="183">
        <v>28</v>
      </c>
      <c r="G99" s="183">
        <v>31</v>
      </c>
      <c r="H99" s="183">
        <v>30</v>
      </c>
      <c r="I99" s="183">
        <v>31</v>
      </c>
      <c r="J99" s="183">
        <v>30</v>
      </c>
      <c r="K99" s="183">
        <v>31</v>
      </c>
      <c r="L99" s="183">
        <v>31</v>
      </c>
      <c r="M99" s="183">
        <v>30</v>
      </c>
      <c r="N99" s="183">
        <v>31</v>
      </c>
      <c r="O99" s="183">
        <v>30</v>
      </c>
      <c r="P99" s="183">
        <v>31</v>
      </c>
      <c r="Q99" s="173"/>
    </row>
    <row r="100" spans="1:17" s="171" customFormat="1" outlineLevel="1">
      <c r="A100" s="173">
        <f t="shared" si="58"/>
        <v>2034</v>
      </c>
      <c r="B100" s="180" t="s">
        <v>243</v>
      </c>
      <c r="C100" s="181" t="s">
        <v>105</v>
      </c>
      <c r="D100" s="188">
        <f>SUM(E100:P100)</f>
        <v>19523489.632457219</v>
      </c>
      <c r="E100" s="187">
        <f>E98*E99/$D$99*$D$7</f>
        <v>1829514.424519123</v>
      </c>
      <c r="F100" s="187">
        <f t="shared" ref="F100:P100" si="61">F98*F99/$D$99*$D$7</f>
        <v>1624456.766221463</v>
      </c>
      <c r="G100" s="187">
        <f t="shared" si="61"/>
        <v>1767496.9863998308</v>
      </c>
      <c r="H100" s="187">
        <f t="shared" si="61"/>
        <v>1680472.5167808242</v>
      </c>
      <c r="I100" s="187">
        <f t="shared" si="61"/>
        <v>1705479.5482805385</v>
      </c>
      <c r="J100" s="187">
        <f t="shared" si="61"/>
        <v>1620455.6411815092</v>
      </c>
      <c r="K100" s="187">
        <f t="shared" si="61"/>
        <v>1643462.1101612465</v>
      </c>
      <c r="L100" s="187">
        <f t="shared" si="61"/>
        <v>1612453.3911016006</v>
      </c>
      <c r="M100" s="187">
        <f t="shared" si="61"/>
        <v>1530430.3277825366</v>
      </c>
      <c r="N100" s="187">
        <f t="shared" si="61"/>
        <v>1550435.9529823086</v>
      </c>
      <c r="O100" s="187">
        <f t="shared" si="61"/>
        <v>1470413.4521832219</v>
      </c>
      <c r="P100" s="187">
        <f t="shared" si="61"/>
        <v>1488418.5148630163</v>
      </c>
      <c r="Q100" s="173"/>
    </row>
    <row r="101" spans="1:17" s="171" customFormat="1" outlineLevel="1">
      <c r="A101" s="173">
        <f t="shared" si="58"/>
        <v>2034</v>
      </c>
      <c r="B101" s="180" t="s">
        <v>244</v>
      </c>
      <c r="C101" s="181" t="s">
        <v>105</v>
      </c>
      <c r="D101" s="187">
        <f>SUM(E101:P101)</f>
        <v>165564553.59079051</v>
      </c>
      <c r="E101" s="187">
        <f t="shared" ref="E101:P101" si="62">E97+E100</f>
        <v>13999603.087713566</v>
      </c>
      <c r="F101" s="187">
        <f t="shared" si="62"/>
        <v>13794545.429415906</v>
      </c>
      <c r="G101" s="187">
        <f t="shared" si="62"/>
        <v>13937585.649594273</v>
      </c>
      <c r="H101" s="187">
        <f t="shared" si="62"/>
        <v>13850561.179975266</v>
      </c>
      <c r="I101" s="187">
        <f t="shared" si="62"/>
        <v>13875568.211474981</v>
      </c>
      <c r="J101" s="187">
        <f t="shared" si="62"/>
        <v>13790544.304375952</v>
      </c>
      <c r="K101" s="187">
        <f t="shared" si="62"/>
        <v>13813550.773355689</v>
      </c>
      <c r="L101" s="187">
        <f t="shared" si="62"/>
        <v>13782542.054296043</v>
      </c>
      <c r="M101" s="187">
        <f t="shared" si="62"/>
        <v>13700518.990976978</v>
      </c>
      <c r="N101" s="187">
        <f t="shared" si="62"/>
        <v>13720524.616176751</v>
      </c>
      <c r="O101" s="187">
        <f t="shared" si="62"/>
        <v>13640502.115377665</v>
      </c>
      <c r="P101" s="187">
        <f t="shared" si="62"/>
        <v>13658507.178057458</v>
      </c>
      <c r="Q101" s="173"/>
    </row>
    <row r="102" spans="1:17" s="171" customFormat="1">
      <c r="B102" s="176" t="str">
        <f>B95</f>
        <v>Период</v>
      </c>
      <c r="C102" s="177"/>
      <c r="D102" s="178">
        <f>D95+1</f>
        <v>2035</v>
      </c>
      <c r="E102" s="179" t="s">
        <v>226</v>
      </c>
      <c r="F102" s="179" t="s">
        <v>227</v>
      </c>
      <c r="G102" s="179" t="s">
        <v>228</v>
      </c>
      <c r="H102" s="179" t="s">
        <v>229</v>
      </c>
      <c r="I102" s="179" t="s">
        <v>230</v>
      </c>
      <c r="J102" s="179" t="s">
        <v>231</v>
      </c>
      <c r="K102" s="179" t="s">
        <v>232</v>
      </c>
      <c r="L102" s="179" t="s">
        <v>233</v>
      </c>
      <c r="M102" s="179" t="s">
        <v>234</v>
      </c>
      <c r="N102" s="179" t="s">
        <v>235</v>
      </c>
      <c r="O102" s="179" t="s">
        <v>236</v>
      </c>
      <c r="P102" s="179" t="s">
        <v>237</v>
      </c>
      <c r="Q102" s="173"/>
    </row>
    <row r="103" spans="1:17" s="171" customFormat="1" ht="13.5" customHeight="1" outlineLevel="1">
      <c r="A103" s="173">
        <f t="shared" ref="A103" si="63">D102</f>
        <v>2035</v>
      </c>
      <c r="B103" s="180" t="s">
        <v>238</v>
      </c>
      <c r="C103" s="181" t="s">
        <v>105</v>
      </c>
      <c r="D103" s="183">
        <f>SUM(E103:P103)</f>
        <v>0</v>
      </c>
      <c r="E103" s="183"/>
      <c r="F103" s="183"/>
      <c r="G103" s="183"/>
      <c r="H103" s="183"/>
      <c r="I103" s="183"/>
      <c r="J103" s="183"/>
      <c r="K103" s="183"/>
      <c r="L103" s="183"/>
      <c r="M103" s="183"/>
      <c r="N103" s="183"/>
      <c r="O103" s="183"/>
      <c r="P103" s="182"/>
      <c r="Q103" s="173"/>
    </row>
    <row r="104" spans="1:17" s="171" customFormat="1" ht="13.5" customHeight="1" outlineLevel="1">
      <c r="A104" s="173">
        <f t="shared" ref="A104:A108" si="64">A103</f>
        <v>2035</v>
      </c>
      <c r="B104" s="180" t="s">
        <v>239</v>
      </c>
      <c r="C104" s="181" t="s">
        <v>105</v>
      </c>
      <c r="D104" s="188">
        <f>SUM(E104:P104)</f>
        <v>146041063.95833334</v>
      </c>
      <c r="E104" s="183">
        <f>P97</f>
        <v>12170088.663194442</v>
      </c>
      <c r="F104" s="183">
        <f>E104</f>
        <v>12170088.663194442</v>
      </c>
      <c r="G104" s="183">
        <f t="shared" ref="G104:P104" si="65">F104</f>
        <v>12170088.663194442</v>
      </c>
      <c r="H104" s="183">
        <f t="shared" si="65"/>
        <v>12170088.663194442</v>
      </c>
      <c r="I104" s="183">
        <f t="shared" si="65"/>
        <v>12170088.663194442</v>
      </c>
      <c r="J104" s="183">
        <f t="shared" si="65"/>
        <v>12170088.663194442</v>
      </c>
      <c r="K104" s="183">
        <f t="shared" si="65"/>
        <v>12170088.663194442</v>
      </c>
      <c r="L104" s="183">
        <f t="shared" si="65"/>
        <v>12170088.663194442</v>
      </c>
      <c r="M104" s="183">
        <f t="shared" si="65"/>
        <v>12170088.663194442</v>
      </c>
      <c r="N104" s="183">
        <f t="shared" si="65"/>
        <v>12170088.663194442</v>
      </c>
      <c r="O104" s="183">
        <f t="shared" si="65"/>
        <v>12170088.663194442</v>
      </c>
      <c r="P104" s="183">
        <f t="shared" si="65"/>
        <v>12170088.663194442</v>
      </c>
      <c r="Q104" s="173"/>
    </row>
    <row r="105" spans="1:17" s="171" customFormat="1" ht="13.5" customHeight="1" outlineLevel="1">
      <c r="A105" s="173">
        <f t="shared" si="64"/>
        <v>2035</v>
      </c>
      <c r="B105" s="180" t="s">
        <v>240</v>
      </c>
      <c r="C105" s="181" t="s">
        <v>105</v>
      </c>
      <c r="D105" s="184"/>
      <c r="E105" s="183">
        <f>IF(P98+E103-E104&lt;0,0,P98+E103-E104)</f>
        <v>571994167.17014003</v>
      </c>
      <c r="F105" s="183">
        <f>IF(E105+F103-F104&lt;0,0,E105+F103-F104)</f>
        <v>559824078.50694561</v>
      </c>
      <c r="G105" s="183">
        <f t="shared" ref="G105:O105" si="66">IF(F105+G103-G104&lt;0,0,F105+G103-G104)</f>
        <v>547653989.84375119</v>
      </c>
      <c r="H105" s="183">
        <f t="shared" si="66"/>
        <v>535483901.18055677</v>
      </c>
      <c r="I105" s="183">
        <f t="shared" si="66"/>
        <v>523313812.51736236</v>
      </c>
      <c r="J105" s="183">
        <f t="shared" si="66"/>
        <v>511143723.85416794</v>
      </c>
      <c r="K105" s="183">
        <f t="shared" si="66"/>
        <v>498973635.19097352</v>
      </c>
      <c r="L105" s="183">
        <f t="shared" si="66"/>
        <v>486803546.5277791</v>
      </c>
      <c r="M105" s="183">
        <f t="shared" si="66"/>
        <v>474633457.86458468</v>
      </c>
      <c r="N105" s="183">
        <f t="shared" si="66"/>
        <v>462463369.20139027</v>
      </c>
      <c r="O105" s="183">
        <f t="shared" si="66"/>
        <v>450293280.53819585</v>
      </c>
      <c r="P105" s="183">
        <f>IF(O105+P103-P104&lt;0,0,O105+P103-P104)</f>
        <v>438123191.87500143</v>
      </c>
      <c r="Q105" s="173"/>
    </row>
    <row r="106" spans="1:17" s="171" customFormat="1" ht="13.5" customHeight="1" outlineLevel="1">
      <c r="A106" s="195">
        <f t="shared" si="64"/>
        <v>2035</v>
      </c>
      <c r="B106" s="180" t="s">
        <v>241</v>
      </c>
      <c r="C106" s="185" t="s">
        <v>242</v>
      </c>
      <c r="D106" s="184">
        <v>365</v>
      </c>
      <c r="E106" s="183">
        <v>31</v>
      </c>
      <c r="F106" s="183">
        <v>28</v>
      </c>
      <c r="G106" s="183">
        <v>31</v>
      </c>
      <c r="H106" s="183">
        <v>30</v>
      </c>
      <c r="I106" s="183">
        <v>31</v>
      </c>
      <c r="J106" s="183">
        <v>30</v>
      </c>
      <c r="K106" s="183">
        <v>31</v>
      </c>
      <c r="L106" s="183">
        <v>31</v>
      </c>
      <c r="M106" s="183">
        <v>30</v>
      </c>
      <c r="N106" s="183">
        <v>31</v>
      </c>
      <c r="O106" s="183">
        <v>30</v>
      </c>
      <c r="P106" s="183">
        <v>31</v>
      </c>
      <c r="Q106" s="173"/>
    </row>
    <row r="107" spans="1:17" s="171" customFormat="1" outlineLevel="1">
      <c r="A107" s="173">
        <f t="shared" si="64"/>
        <v>2035</v>
      </c>
      <c r="B107" s="180" t="s">
        <v>243</v>
      </c>
      <c r="C107" s="181" t="s">
        <v>105</v>
      </c>
      <c r="D107" s="188">
        <f>SUM(E107:P107)</f>
        <v>15142257.713707229</v>
      </c>
      <c r="E107" s="187">
        <f>E105*E106/$D$106*$D$7</f>
        <v>1457409.7958033704</v>
      </c>
      <c r="F107" s="187">
        <f t="shared" ref="F107:P107" si="67">F105*F106/$D$106*$D$7</f>
        <v>1288362.2628652994</v>
      </c>
      <c r="G107" s="187">
        <f t="shared" si="67"/>
        <v>1395392.3576840782</v>
      </c>
      <c r="H107" s="187">
        <f t="shared" si="67"/>
        <v>1320371.2631849344</v>
      </c>
      <c r="I107" s="187">
        <f t="shared" si="67"/>
        <v>1333374.9195647861</v>
      </c>
      <c r="J107" s="187">
        <f t="shared" si="67"/>
        <v>1260354.3875856195</v>
      </c>
      <c r="K107" s="187">
        <f t="shared" si="67"/>
        <v>1271357.4814454941</v>
      </c>
      <c r="L107" s="187">
        <f t="shared" si="67"/>
        <v>1240348.762385848</v>
      </c>
      <c r="M107" s="187">
        <f t="shared" si="67"/>
        <v>1170329.0741866471</v>
      </c>
      <c r="N107" s="187">
        <f t="shared" si="67"/>
        <v>1178331.324266556</v>
      </c>
      <c r="O107" s="187">
        <f t="shared" si="67"/>
        <v>1110312.1985873322</v>
      </c>
      <c r="P107" s="187">
        <f t="shared" si="67"/>
        <v>1116313.8861472637</v>
      </c>
      <c r="Q107" s="173"/>
    </row>
    <row r="108" spans="1:17" s="171" customFormat="1" outlineLevel="1">
      <c r="A108" s="173">
        <f t="shared" si="64"/>
        <v>2035</v>
      </c>
      <c r="B108" s="180" t="s">
        <v>244</v>
      </c>
      <c r="C108" s="181" t="s">
        <v>105</v>
      </c>
      <c r="D108" s="187">
        <f>SUM(E108:P108)</f>
        <v>161183321.67204052</v>
      </c>
      <c r="E108" s="187">
        <f t="shared" ref="E108:P108" si="68">E104+E107</f>
        <v>13627498.458997812</v>
      </c>
      <c r="F108" s="187">
        <f t="shared" si="68"/>
        <v>13458450.926059742</v>
      </c>
      <c r="G108" s="187">
        <f t="shared" si="68"/>
        <v>13565481.02087852</v>
      </c>
      <c r="H108" s="187">
        <f t="shared" si="68"/>
        <v>13490459.926379377</v>
      </c>
      <c r="I108" s="187">
        <f t="shared" si="68"/>
        <v>13503463.582759228</v>
      </c>
      <c r="J108" s="187">
        <f t="shared" si="68"/>
        <v>13430443.050780062</v>
      </c>
      <c r="K108" s="187">
        <f t="shared" si="68"/>
        <v>13441446.144639935</v>
      </c>
      <c r="L108" s="187">
        <f t="shared" si="68"/>
        <v>13410437.425580289</v>
      </c>
      <c r="M108" s="187">
        <f t="shared" si="68"/>
        <v>13340417.737381089</v>
      </c>
      <c r="N108" s="187">
        <f t="shared" si="68"/>
        <v>13348419.987460999</v>
      </c>
      <c r="O108" s="187">
        <f t="shared" si="68"/>
        <v>13280400.861781774</v>
      </c>
      <c r="P108" s="187">
        <f t="shared" si="68"/>
        <v>13286402.549341707</v>
      </c>
      <c r="Q108" s="173"/>
    </row>
    <row r="109" spans="1:17" s="171" customFormat="1">
      <c r="B109" s="176" t="str">
        <f>B102</f>
        <v>Период</v>
      </c>
      <c r="C109" s="177"/>
      <c r="D109" s="178">
        <f>D102+1</f>
        <v>2036</v>
      </c>
      <c r="E109" s="179" t="s">
        <v>226</v>
      </c>
      <c r="F109" s="179" t="s">
        <v>227</v>
      </c>
      <c r="G109" s="179" t="s">
        <v>228</v>
      </c>
      <c r="H109" s="179" t="s">
        <v>229</v>
      </c>
      <c r="I109" s="179" t="s">
        <v>230</v>
      </c>
      <c r="J109" s="179" t="s">
        <v>231</v>
      </c>
      <c r="K109" s="179" t="s">
        <v>232</v>
      </c>
      <c r="L109" s="179" t="s">
        <v>233</v>
      </c>
      <c r="M109" s="179" t="s">
        <v>234</v>
      </c>
      <c r="N109" s="179" t="s">
        <v>235</v>
      </c>
      <c r="O109" s="179" t="s">
        <v>236</v>
      </c>
      <c r="P109" s="179" t="s">
        <v>237</v>
      </c>
      <c r="Q109" s="173"/>
    </row>
    <row r="110" spans="1:17" s="171" customFormat="1" ht="13.5" customHeight="1" outlineLevel="1">
      <c r="A110" s="173">
        <f t="shared" ref="A110" si="69">D109</f>
        <v>2036</v>
      </c>
      <c r="B110" s="180" t="s">
        <v>238</v>
      </c>
      <c r="C110" s="181" t="s">
        <v>105</v>
      </c>
      <c r="D110" s="183">
        <f>SUM(E110:P110)</f>
        <v>0</v>
      </c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  <c r="O110" s="183"/>
      <c r="P110" s="182"/>
      <c r="Q110" s="173"/>
    </row>
    <row r="111" spans="1:17" s="171" customFormat="1" ht="13.5" customHeight="1" outlineLevel="1">
      <c r="A111" s="173">
        <f t="shared" ref="A111:A115" si="70">A110</f>
        <v>2036</v>
      </c>
      <c r="B111" s="180" t="s">
        <v>239</v>
      </c>
      <c r="C111" s="181" t="s">
        <v>105</v>
      </c>
      <c r="D111" s="188">
        <f>SUM(E111:P111)</f>
        <v>146041063.95833334</v>
      </c>
      <c r="E111" s="187">
        <f>P104</f>
        <v>12170088.663194442</v>
      </c>
      <c r="F111" s="187">
        <f>E111</f>
        <v>12170088.663194442</v>
      </c>
      <c r="G111" s="187">
        <f t="shared" ref="G111:P111" si="71">F111</f>
        <v>12170088.663194442</v>
      </c>
      <c r="H111" s="187">
        <f t="shared" si="71"/>
        <v>12170088.663194442</v>
      </c>
      <c r="I111" s="187">
        <f t="shared" si="71"/>
        <v>12170088.663194442</v>
      </c>
      <c r="J111" s="187">
        <f t="shared" si="71"/>
        <v>12170088.663194442</v>
      </c>
      <c r="K111" s="187">
        <f t="shared" si="71"/>
        <v>12170088.663194442</v>
      </c>
      <c r="L111" s="187">
        <f t="shared" si="71"/>
        <v>12170088.663194442</v>
      </c>
      <c r="M111" s="187">
        <f t="shared" si="71"/>
        <v>12170088.663194442</v>
      </c>
      <c r="N111" s="187">
        <f t="shared" si="71"/>
        <v>12170088.663194442</v>
      </c>
      <c r="O111" s="187">
        <f t="shared" si="71"/>
        <v>12170088.663194442</v>
      </c>
      <c r="P111" s="187">
        <f t="shared" si="71"/>
        <v>12170088.663194442</v>
      </c>
      <c r="Q111" s="173"/>
    </row>
    <row r="112" spans="1:17" s="171" customFormat="1" ht="13.5" customHeight="1" outlineLevel="1">
      <c r="A112" s="173">
        <f t="shared" si="70"/>
        <v>2036</v>
      </c>
      <c r="B112" s="180" t="s">
        <v>240</v>
      </c>
      <c r="C112" s="181" t="s">
        <v>105</v>
      </c>
      <c r="D112" s="187"/>
      <c r="E112" s="187">
        <f>IF(P105+E110-E111&lt;0,0,P105+E110-E111)</f>
        <v>425953103.21180701</v>
      </c>
      <c r="F112" s="187">
        <f>IF(E112+F110-F111&lt;0,0,E112+F110-F111)</f>
        <v>413783014.54861259</v>
      </c>
      <c r="G112" s="187">
        <f t="shared" ref="G112:O112" si="72">IF(F112+G110-G111&lt;0,0,F112+G110-G111)</f>
        <v>401612925.88541818</v>
      </c>
      <c r="H112" s="187">
        <f t="shared" si="72"/>
        <v>389442837.22222376</v>
      </c>
      <c r="I112" s="187">
        <f t="shared" si="72"/>
        <v>377272748.55902934</v>
      </c>
      <c r="J112" s="187">
        <f t="shared" si="72"/>
        <v>365102659.89583492</v>
      </c>
      <c r="K112" s="187">
        <f t="shared" si="72"/>
        <v>352932571.2326405</v>
      </c>
      <c r="L112" s="187">
        <f t="shared" si="72"/>
        <v>340762482.56944609</v>
      </c>
      <c r="M112" s="187">
        <f t="shared" si="72"/>
        <v>328592393.90625167</v>
      </c>
      <c r="N112" s="187">
        <f t="shared" si="72"/>
        <v>316422305.24305725</v>
      </c>
      <c r="O112" s="187">
        <f t="shared" si="72"/>
        <v>304252216.57986283</v>
      </c>
      <c r="P112" s="187">
        <f>IF(O112+P110-P111&lt;0,0,O112+P110-P111)</f>
        <v>292082127.91666842</v>
      </c>
      <c r="Q112" s="173"/>
    </row>
    <row r="113" spans="1:17" s="171" customFormat="1" ht="13.5" customHeight="1" outlineLevel="1">
      <c r="A113" s="195">
        <f t="shared" si="70"/>
        <v>2036</v>
      </c>
      <c r="B113" s="180" t="s">
        <v>241</v>
      </c>
      <c r="C113" s="185" t="s">
        <v>242</v>
      </c>
      <c r="D113" s="187">
        <v>366</v>
      </c>
      <c r="E113" s="187">
        <v>31</v>
      </c>
      <c r="F113" s="187">
        <v>29</v>
      </c>
      <c r="G113" s="187">
        <v>31</v>
      </c>
      <c r="H113" s="187">
        <v>30</v>
      </c>
      <c r="I113" s="187">
        <v>31</v>
      </c>
      <c r="J113" s="187">
        <v>30</v>
      </c>
      <c r="K113" s="187">
        <v>31</v>
      </c>
      <c r="L113" s="187">
        <v>31</v>
      </c>
      <c r="M113" s="187">
        <v>30</v>
      </c>
      <c r="N113" s="187">
        <v>31</v>
      </c>
      <c r="O113" s="187">
        <v>30</v>
      </c>
      <c r="P113" s="187">
        <v>31</v>
      </c>
      <c r="Q113" s="173"/>
    </row>
    <row r="114" spans="1:17" s="171" customFormat="1" outlineLevel="1">
      <c r="A114" s="173">
        <f t="shared" si="70"/>
        <v>2036</v>
      </c>
      <c r="B114" s="180" t="s">
        <v>243</v>
      </c>
      <c r="C114" s="181" t="s">
        <v>105</v>
      </c>
      <c r="D114" s="188">
        <f>SUM(E114:P114)</f>
        <v>10765540.725671723</v>
      </c>
      <c r="E114" s="187">
        <f>E112*E113/$D$113*$D$7</f>
        <v>1082339.8524234439</v>
      </c>
      <c r="F114" s="187">
        <f t="shared" ref="F114:P114" si="73">F112*F113/$D$113*$D$7</f>
        <v>983582.57556637423</v>
      </c>
      <c r="G114" s="187">
        <f t="shared" si="73"/>
        <v>1020491.8608563904</v>
      </c>
      <c r="H114" s="187">
        <f t="shared" si="73"/>
        <v>957646.32103825512</v>
      </c>
      <c r="I114" s="187">
        <f t="shared" si="73"/>
        <v>958643.86928933684</v>
      </c>
      <c r="J114" s="187">
        <f t="shared" si="73"/>
        <v>897793.42597336462</v>
      </c>
      <c r="K114" s="187">
        <f t="shared" si="73"/>
        <v>896795.87772228313</v>
      </c>
      <c r="L114" s="187">
        <f t="shared" si="73"/>
        <v>865871.88193875644</v>
      </c>
      <c r="M114" s="187">
        <f t="shared" si="73"/>
        <v>808014.08337602869</v>
      </c>
      <c r="N114" s="187">
        <f t="shared" si="73"/>
        <v>804023.89037170284</v>
      </c>
      <c r="O114" s="187">
        <f t="shared" si="73"/>
        <v>748161.18831113807</v>
      </c>
      <c r="P114" s="187">
        <f t="shared" si="73"/>
        <v>742175.89880464936</v>
      </c>
      <c r="Q114" s="173"/>
    </row>
    <row r="115" spans="1:17" s="171" customFormat="1" outlineLevel="1">
      <c r="A115" s="173">
        <f t="shared" si="70"/>
        <v>2036</v>
      </c>
      <c r="B115" s="180" t="s">
        <v>244</v>
      </c>
      <c r="C115" s="181" t="s">
        <v>105</v>
      </c>
      <c r="D115" s="187">
        <f>SUM(E115:P115)</f>
        <v>156806604.68400502</v>
      </c>
      <c r="E115" s="187">
        <f t="shared" ref="E115:P115" si="74">E111+E114</f>
        <v>13252428.515617887</v>
      </c>
      <c r="F115" s="187">
        <f t="shared" si="74"/>
        <v>13153671.238760816</v>
      </c>
      <c r="G115" s="187">
        <f t="shared" si="74"/>
        <v>13190580.524050832</v>
      </c>
      <c r="H115" s="187">
        <f t="shared" si="74"/>
        <v>13127734.984232698</v>
      </c>
      <c r="I115" s="187">
        <f t="shared" si="74"/>
        <v>13128732.532483779</v>
      </c>
      <c r="J115" s="187">
        <f t="shared" si="74"/>
        <v>13067882.089167807</v>
      </c>
      <c r="K115" s="187">
        <f t="shared" si="74"/>
        <v>13066884.540916726</v>
      </c>
      <c r="L115" s="187">
        <f t="shared" si="74"/>
        <v>13035960.5451332</v>
      </c>
      <c r="M115" s="187">
        <f t="shared" si="74"/>
        <v>12978102.746570472</v>
      </c>
      <c r="N115" s="187">
        <f t="shared" si="74"/>
        <v>12974112.553566145</v>
      </c>
      <c r="O115" s="187">
        <f t="shared" si="74"/>
        <v>12918249.851505579</v>
      </c>
      <c r="P115" s="187">
        <f t="shared" si="74"/>
        <v>12912264.561999092</v>
      </c>
      <c r="Q115" s="173"/>
    </row>
    <row r="116" spans="1:17" s="171" customFormat="1">
      <c r="B116" s="176" t="str">
        <f>B109</f>
        <v>Период</v>
      </c>
      <c r="C116" s="177"/>
      <c r="D116" s="178">
        <f>D109+1</f>
        <v>2037</v>
      </c>
      <c r="E116" s="179" t="s">
        <v>226</v>
      </c>
      <c r="F116" s="179" t="s">
        <v>227</v>
      </c>
      <c r="G116" s="179" t="s">
        <v>228</v>
      </c>
      <c r="H116" s="179" t="s">
        <v>229</v>
      </c>
      <c r="I116" s="179" t="s">
        <v>230</v>
      </c>
      <c r="J116" s="179" t="s">
        <v>231</v>
      </c>
      <c r="K116" s="179" t="s">
        <v>232</v>
      </c>
      <c r="L116" s="179" t="s">
        <v>233</v>
      </c>
      <c r="M116" s="179" t="s">
        <v>234</v>
      </c>
      <c r="N116" s="179" t="s">
        <v>235</v>
      </c>
      <c r="O116" s="179" t="s">
        <v>236</v>
      </c>
      <c r="P116" s="179" t="s">
        <v>237</v>
      </c>
      <c r="Q116" s="173"/>
    </row>
    <row r="117" spans="1:17" s="171" customFormat="1" ht="13.5" customHeight="1" outlineLevel="1">
      <c r="A117" s="173">
        <f t="shared" ref="A117" si="75">D116</f>
        <v>2037</v>
      </c>
      <c r="B117" s="180" t="s">
        <v>238</v>
      </c>
      <c r="C117" s="181" t="s">
        <v>105</v>
      </c>
      <c r="D117" s="183">
        <f>SUM(E117:P117)</f>
        <v>0</v>
      </c>
      <c r="E117" s="183"/>
      <c r="F117" s="183"/>
      <c r="G117" s="183"/>
      <c r="H117" s="183"/>
      <c r="I117" s="183"/>
      <c r="J117" s="183"/>
      <c r="K117" s="183"/>
      <c r="L117" s="183"/>
      <c r="M117" s="183"/>
      <c r="N117" s="183"/>
      <c r="O117" s="183"/>
      <c r="P117" s="182"/>
      <c r="Q117" s="173"/>
    </row>
    <row r="118" spans="1:17" s="171" customFormat="1" ht="13.5" customHeight="1" outlineLevel="1">
      <c r="A118" s="173">
        <f t="shared" ref="A118:A122" si="76">A117</f>
        <v>2037</v>
      </c>
      <c r="B118" s="180" t="s">
        <v>239</v>
      </c>
      <c r="C118" s="181" t="s">
        <v>105</v>
      </c>
      <c r="D118" s="188">
        <f>SUM(E118:P118)</f>
        <v>146041063.95833334</v>
      </c>
      <c r="E118" s="183">
        <f>P111</f>
        <v>12170088.663194442</v>
      </c>
      <c r="F118" s="183">
        <f>E118</f>
        <v>12170088.663194442</v>
      </c>
      <c r="G118" s="183">
        <f t="shared" ref="G118" si="77">F118</f>
        <v>12170088.663194442</v>
      </c>
      <c r="H118" s="183">
        <f>G118</f>
        <v>12170088.663194442</v>
      </c>
      <c r="I118" s="183">
        <f t="shared" ref="I118:P118" si="78">H118</f>
        <v>12170088.663194442</v>
      </c>
      <c r="J118" s="183">
        <f t="shared" si="78"/>
        <v>12170088.663194442</v>
      </c>
      <c r="K118" s="183">
        <f t="shared" si="78"/>
        <v>12170088.663194442</v>
      </c>
      <c r="L118" s="183">
        <f t="shared" si="78"/>
        <v>12170088.663194442</v>
      </c>
      <c r="M118" s="183">
        <f t="shared" si="78"/>
        <v>12170088.663194442</v>
      </c>
      <c r="N118" s="183">
        <f t="shared" si="78"/>
        <v>12170088.663194442</v>
      </c>
      <c r="O118" s="183">
        <f t="shared" si="78"/>
        <v>12170088.663194442</v>
      </c>
      <c r="P118" s="183">
        <f t="shared" si="78"/>
        <v>12170088.663194442</v>
      </c>
      <c r="Q118" s="173"/>
    </row>
    <row r="119" spans="1:17" s="171" customFormat="1" ht="13.5" customHeight="1" outlineLevel="1">
      <c r="A119" s="173">
        <f t="shared" si="76"/>
        <v>2037</v>
      </c>
      <c r="B119" s="180" t="s">
        <v>240</v>
      </c>
      <c r="C119" s="181" t="s">
        <v>105</v>
      </c>
      <c r="D119" s="184"/>
      <c r="E119" s="183">
        <f>IF(P112+E117-E118&lt;0,0,P112+E117-E118)</f>
        <v>279912039.253474</v>
      </c>
      <c r="F119" s="183">
        <f>IF(E119+F117-F118&lt;0,0,E119+F117-F118)</f>
        <v>267741950.59027955</v>
      </c>
      <c r="G119" s="183">
        <f t="shared" ref="G119:O119" si="79">IF(F119+G117-G118&lt;0,0,F119+G117-G118)</f>
        <v>255571861.9270851</v>
      </c>
      <c r="H119" s="183">
        <f t="shared" si="79"/>
        <v>243401773.26389065</v>
      </c>
      <c r="I119" s="183">
        <f t="shared" si="79"/>
        <v>231231684.60069621</v>
      </c>
      <c r="J119" s="183">
        <f t="shared" si="79"/>
        <v>219061595.93750176</v>
      </c>
      <c r="K119" s="183">
        <f t="shared" si="79"/>
        <v>206891507.27430731</v>
      </c>
      <c r="L119" s="183">
        <f t="shared" si="79"/>
        <v>194721418.61111286</v>
      </c>
      <c r="M119" s="183">
        <f t="shared" si="79"/>
        <v>182551329.94791842</v>
      </c>
      <c r="N119" s="183">
        <f t="shared" si="79"/>
        <v>170381241.28472397</v>
      </c>
      <c r="O119" s="183">
        <f t="shared" si="79"/>
        <v>158211152.62152952</v>
      </c>
      <c r="P119" s="228">
        <f>IF(O119+P117-P118&lt;0,0,O119+P117-P118)</f>
        <v>146041063.95833507</v>
      </c>
      <c r="Q119" s="173"/>
    </row>
    <row r="120" spans="1:17" s="171" customFormat="1" ht="13.5" customHeight="1" outlineLevel="1">
      <c r="A120" s="195">
        <f t="shared" si="76"/>
        <v>2037</v>
      </c>
      <c r="B120" s="180" t="s">
        <v>241</v>
      </c>
      <c r="C120" s="185" t="s">
        <v>242</v>
      </c>
      <c r="D120" s="184">
        <v>365</v>
      </c>
      <c r="E120" s="183">
        <v>31</v>
      </c>
      <c r="F120" s="183">
        <v>28</v>
      </c>
      <c r="G120" s="183">
        <v>31</v>
      </c>
      <c r="H120" s="183">
        <v>30</v>
      </c>
      <c r="I120" s="183">
        <v>31</v>
      </c>
      <c r="J120" s="183">
        <v>30</v>
      </c>
      <c r="K120" s="183">
        <v>31</v>
      </c>
      <c r="L120" s="183">
        <v>31</v>
      </c>
      <c r="M120" s="183">
        <v>30</v>
      </c>
      <c r="N120" s="183">
        <v>31</v>
      </c>
      <c r="O120" s="183">
        <v>30</v>
      </c>
      <c r="P120" s="183">
        <v>31</v>
      </c>
      <c r="Q120" s="173"/>
    </row>
    <row r="121" spans="1:17" s="171" customFormat="1" ht="12" customHeight="1" outlineLevel="1">
      <c r="A121" s="173">
        <f t="shared" si="76"/>
        <v>2037</v>
      </c>
      <c r="B121" s="180" t="s">
        <v>243</v>
      </c>
      <c r="C121" s="181" t="s">
        <v>105</v>
      </c>
      <c r="D121" s="188">
        <f>SUM(E121:P121)</f>
        <v>6379793.8762072446</v>
      </c>
      <c r="E121" s="187">
        <f>E119*E120/$D$120*$D$7</f>
        <v>713200.53837186529</v>
      </c>
      <c r="F121" s="187">
        <f>F119*F120/$D$120*$D$7</f>
        <v>616173.25615297211</v>
      </c>
      <c r="G121" s="187">
        <f t="shared" ref="G121:P121" si="80">G119*G120/$D$120*$D$7</f>
        <v>651183.10025257291</v>
      </c>
      <c r="H121" s="187">
        <f t="shared" si="80"/>
        <v>600168.75599315495</v>
      </c>
      <c r="I121" s="187">
        <f t="shared" si="80"/>
        <v>589165.66213328065</v>
      </c>
      <c r="J121" s="187">
        <f t="shared" si="80"/>
        <v>540151.88039383991</v>
      </c>
      <c r="K121" s="187">
        <f t="shared" si="80"/>
        <v>527148.22401398839</v>
      </c>
      <c r="L121" s="187">
        <f t="shared" si="80"/>
        <v>496139.50495434238</v>
      </c>
      <c r="M121" s="187">
        <f t="shared" si="80"/>
        <v>450126.56699486729</v>
      </c>
      <c r="N121" s="187">
        <f t="shared" si="80"/>
        <v>434122.06683505006</v>
      </c>
      <c r="O121" s="187">
        <f t="shared" si="80"/>
        <v>390109.69139555225</v>
      </c>
      <c r="P121" s="187">
        <f t="shared" si="80"/>
        <v>372104.62871575786</v>
      </c>
      <c r="Q121" s="173"/>
    </row>
    <row r="122" spans="1:17" s="171" customFormat="1" outlineLevel="1">
      <c r="A122" s="173">
        <f t="shared" si="76"/>
        <v>2037</v>
      </c>
      <c r="B122" s="180" t="s">
        <v>244</v>
      </c>
      <c r="C122" s="181" t="s">
        <v>105</v>
      </c>
      <c r="D122" s="187">
        <f>SUM(E122:P122)</f>
        <v>152420857.83454055</v>
      </c>
      <c r="E122" s="187">
        <f t="shared" ref="E122:P122" si="81">E118+E121</f>
        <v>12883289.201566307</v>
      </c>
      <c r="F122" s="187">
        <f t="shared" si="81"/>
        <v>12786261.919347415</v>
      </c>
      <c r="G122" s="187">
        <f t="shared" si="81"/>
        <v>12821271.763447015</v>
      </c>
      <c r="H122" s="187">
        <f t="shared" si="81"/>
        <v>12770257.419187598</v>
      </c>
      <c r="I122" s="187">
        <f t="shared" si="81"/>
        <v>12759254.325327722</v>
      </c>
      <c r="J122" s="187">
        <f t="shared" si="81"/>
        <v>12710240.543588283</v>
      </c>
      <c r="K122" s="187">
        <f t="shared" si="81"/>
        <v>12697236.88720843</v>
      </c>
      <c r="L122" s="187">
        <f t="shared" si="81"/>
        <v>12666228.168148784</v>
      </c>
      <c r="M122" s="187">
        <f t="shared" si="81"/>
        <v>12620215.230189309</v>
      </c>
      <c r="N122" s="187">
        <f t="shared" si="81"/>
        <v>12604210.730029492</v>
      </c>
      <c r="O122" s="187">
        <f t="shared" si="81"/>
        <v>12560198.354589995</v>
      </c>
      <c r="P122" s="187">
        <f t="shared" si="81"/>
        <v>12542193.291910199</v>
      </c>
      <c r="Q122" s="173"/>
    </row>
    <row r="123" spans="1:17" s="171" customFormat="1">
      <c r="B123" s="176" t="str">
        <f>B116</f>
        <v>Период</v>
      </c>
      <c r="C123" s="177"/>
      <c r="D123" s="178">
        <f>D116+1</f>
        <v>2038</v>
      </c>
      <c r="E123" s="179" t="s">
        <v>226</v>
      </c>
      <c r="F123" s="179" t="s">
        <v>227</v>
      </c>
      <c r="G123" s="179" t="s">
        <v>228</v>
      </c>
      <c r="H123" s="179" t="s">
        <v>229</v>
      </c>
      <c r="I123" s="179" t="s">
        <v>230</v>
      </c>
      <c r="J123" s="179" t="s">
        <v>231</v>
      </c>
      <c r="K123" s="179" t="s">
        <v>232</v>
      </c>
      <c r="L123" s="179" t="s">
        <v>233</v>
      </c>
      <c r="M123" s="179" t="s">
        <v>234</v>
      </c>
      <c r="N123" s="179" t="s">
        <v>235</v>
      </c>
      <c r="O123" s="179" t="s">
        <v>236</v>
      </c>
      <c r="P123" s="179" t="s">
        <v>237</v>
      </c>
      <c r="Q123" s="173"/>
    </row>
    <row r="124" spans="1:17" s="171" customFormat="1" ht="13.5" customHeight="1" outlineLevel="1">
      <c r="A124" s="173">
        <f t="shared" ref="A124" si="82">D123</f>
        <v>2038</v>
      </c>
      <c r="B124" s="180" t="s">
        <v>238</v>
      </c>
      <c r="C124" s="181" t="s">
        <v>105</v>
      </c>
      <c r="D124" s="183">
        <f>SUM(E124:P124)</f>
        <v>0</v>
      </c>
      <c r="E124" s="183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2"/>
      <c r="Q124" s="173"/>
    </row>
    <row r="125" spans="1:17" s="171" customFormat="1" ht="13.5" customHeight="1" outlineLevel="1">
      <c r="A125" s="173">
        <f t="shared" ref="A125:A129" si="83">A124</f>
        <v>2038</v>
      </c>
      <c r="B125" s="180" t="s">
        <v>239</v>
      </c>
      <c r="C125" s="181" t="s">
        <v>105</v>
      </c>
      <c r="D125" s="188">
        <f>SUM(E125:P125)</f>
        <v>146041063.95833334</v>
      </c>
      <c r="E125" s="183">
        <f>P118</f>
        <v>12170088.663194442</v>
      </c>
      <c r="F125" s="183">
        <f>E125</f>
        <v>12170088.663194442</v>
      </c>
      <c r="G125" s="183">
        <f t="shared" ref="G125" si="84">F125</f>
        <v>12170088.663194442</v>
      </c>
      <c r="H125" s="183">
        <f>G125</f>
        <v>12170088.663194442</v>
      </c>
      <c r="I125" s="183">
        <f t="shared" ref="I125" si="85">H125</f>
        <v>12170088.663194442</v>
      </c>
      <c r="J125" s="183">
        <f t="shared" ref="J125" si="86">I125</f>
        <v>12170088.663194442</v>
      </c>
      <c r="K125" s="183">
        <f t="shared" ref="K125" si="87">J125</f>
        <v>12170088.663194442</v>
      </c>
      <c r="L125" s="183">
        <f t="shared" ref="L125" si="88">K125</f>
        <v>12170088.663194442</v>
      </c>
      <c r="M125" s="183">
        <f t="shared" ref="M125" si="89">L125</f>
        <v>12170088.663194442</v>
      </c>
      <c r="N125" s="183">
        <f t="shared" ref="N125" si="90">M125</f>
        <v>12170088.663194442</v>
      </c>
      <c r="O125" s="183">
        <f t="shared" ref="O125" si="91">N125</f>
        <v>12170088.663194442</v>
      </c>
      <c r="P125" s="183">
        <f t="shared" ref="P125" si="92">O125</f>
        <v>12170088.663194442</v>
      </c>
      <c r="Q125" s="173"/>
    </row>
    <row r="126" spans="1:17" s="171" customFormat="1" ht="13.5" customHeight="1" outlineLevel="1">
      <c r="A126" s="173">
        <f t="shared" si="83"/>
        <v>2038</v>
      </c>
      <c r="B126" s="180" t="s">
        <v>240</v>
      </c>
      <c r="C126" s="181" t="s">
        <v>105</v>
      </c>
      <c r="D126" s="184"/>
      <c r="E126" s="183">
        <f>IF(P119+E124-E125&lt;0,0,P119+E124-E125)</f>
        <v>133870975.29514062</v>
      </c>
      <c r="F126" s="183">
        <f>IF(E126+F124-F125&lt;0,0,E126+F124-F125)</f>
        <v>121700886.63194618</v>
      </c>
      <c r="G126" s="183">
        <f t="shared" ref="G126" si="93">IF(F126+G124-G125&lt;0,0,F126+G124-G125)</f>
        <v>109530797.96875173</v>
      </c>
      <c r="H126" s="183">
        <f t="shared" ref="H126" si="94">IF(G126+H124-H125&lt;0,0,G126+H124-H125)</f>
        <v>97360709.305557281</v>
      </c>
      <c r="I126" s="183">
        <f t="shared" ref="I126" si="95">IF(H126+I124-I125&lt;0,0,H126+I124-I125)</f>
        <v>85190620.642362833</v>
      </c>
      <c r="J126" s="183">
        <f t="shared" ref="J126" si="96">IF(I126+J124-J125&lt;0,0,I126+J124-J125)</f>
        <v>73020531.979168385</v>
      </c>
      <c r="K126" s="183">
        <f t="shared" ref="K126" si="97">IF(J126+K124-K125&lt;0,0,J126+K124-K125)</f>
        <v>60850443.315973945</v>
      </c>
      <c r="L126" s="183">
        <f t="shared" ref="L126" si="98">IF(K126+L124-L125&lt;0,0,K126+L124-L125)</f>
        <v>48680354.652779505</v>
      </c>
      <c r="M126" s="183">
        <f t="shared" ref="M126" si="99">IF(L126+M124-M125&lt;0,0,L126+M124-M125)</f>
        <v>36510265.989585064</v>
      </c>
      <c r="N126" s="183">
        <f t="shared" ref="N126" si="100">IF(M126+N124-N125&lt;0,0,M126+N124-N125)</f>
        <v>24340177.326390624</v>
      </c>
      <c r="O126" s="183">
        <f t="shared" ref="O126" si="101">IF(N126+O124-O125&lt;0,0,N126+O124-O125)</f>
        <v>12170088.663196182</v>
      </c>
      <c r="P126" s="193">
        <f>IF(O126+P124-P125&lt;0,0,O126+P124-P125)</f>
        <v>1.7397105693817139E-6</v>
      </c>
      <c r="Q126" s="173"/>
    </row>
    <row r="127" spans="1:17" s="171" customFormat="1" ht="13.5" customHeight="1" outlineLevel="1">
      <c r="A127" s="195">
        <f t="shared" si="83"/>
        <v>2038</v>
      </c>
      <c r="B127" s="180" t="s">
        <v>241</v>
      </c>
      <c r="C127" s="185" t="s">
        <v>242</v>
      </c>
      <c r="D127" s="184">
        <v>365</v>
      </c>
      <c r="E127" s="183">
        <v>31</v>
      </c>
      <c r="F127" s="183">
        <v>28</v>
      </c>
      <c r="G127" s="183">
        <v>31</v>
      </c>
      <c r="H127" s="183">
        <v>30</v>
      </c>
      <c r="I127" s="183">
        <v>31</v>
      </c>
      <c r="J127" s="183">
        <v>30</v>
      </c>
      <c r="K127" s="183">
        <v>31</v>
      </c>
      <c r="L127" s="183">
        <v>31</v>
      </c>
      <c r="M127" s="183">
        <v>30</v>
      </c>
      <c r="N127" s="183">
        <v>31</v>
      </c>
      <c r="O127" s="183">
        <v>30</v>
      </c>
      <c r="P127" s="183">
        <v>31</v>
      </c>
      <c r="Q127" s="173"/>
    </row>
    <row r="128" spans="1:17" s="171" customFormat="1" ht="12" customHeight="1" outlineLevel="1">
      <c r="A128" s="173">
        <f t="shared" si="83"/>
        <v>2038</v>
      </c>
      <c r="B128" s="180" t="s">
        <v>243</v>
      </c>
      <c r="C128" s="181" t="s">
        <v>105</v>
      </c>
      <c r="D128" s="188">
        <f>SUM(E128:P128)</f>
        <v>1998561.9574572439</v>
      </c>
      <c r="E128" s="187">
        <f>E126*E127/$D$127*$D$7</f>
        <v>341095.90965611173</v>
      </c>
      <c r="F128" s="187">
        <f t="shared" ref="F128:P128" si="102">F126*F127/$D$127*$D$7</f>
        <v>280078.75279680762</v>
      </c>
      <c r="G128" s="187">
        <f t="shared" si="102"/>
        <v>279078.47153681947</v>
      </c>
      <c r="H128" s="187">
        <f t="shared" si="102"/>
        <v>240067.50239726453</v>
      </c>
      <c r="I128" s="187">
        <f t="shared" si="102"/>
        <v>217061.03341752724</v>
      </c>
      <c r="J128" s="187">
        <f t="shared" si="102"/>
        <v>180050.62679794943</v>
      </c>
      <c r="K128" s="187">
        <f t="shared" si="102"/>
        <v>155043.59529823498</v>
      </c>
      <c r="L128" s="187">
        <f t="shared" si="102"/>
        <v>124034.87623858885</v>
      </c>
      <c r="M128" s="187">
        <f t="shared" si="102"/>
        <v>90025.313398976868</v>
      </c>
      <c r="N128" s="187">
        <f t="shared" si="102"/>
        <v>62017.438119296654</v>
      </c>
      <c r="O128" s="187">
        <f t="shared" si="102"/>
        <v>30008.437799661817</v>
      </c>
      <c r="P128" s="187">
        <f t="shared" si="102"/>
        <v>4.4326872041780656E-9</v>
      </c>
      <c r="Q128" s="173"/>
    </row>
    <row r="129" spans="1:17" s="171" customFormat="1" outlineLevel="1">
      <c r="A129" s="173">
        <f t="shared" si="83"/>
        <v>2038</v>
      </c>
      <c r="B129" s="180" t="s">
        <v>244</v>
      </c>
      <c r="C129" s="181" t="s">
        <v>105</v>
      </c>
      <c r="D129" s="187">
        <f>SUM(E129:P129)</f>
        <v>148039625.91579056</v>
      </c>
      <c r="E129" s="187">
        <f>E125+E128</f>
        <v>12511184.572850553</v>
      </c>
      <c r="F129" s="187">
        <f t="shared" ref="F129:P129" si="103">F125+F128</f>
        <v>12450167.41599125</v>
      </c>
      <c r="G129" s="187">
        <f t="shared" si="103"/>
        <v>12449167.134731261</v>
      </c>
      <c r="H129" s="187">
        <f t="shared" si="103"/>
        <v>12410156.165591707</v>
      </c>
      <c r="I129" s="187">
        <f t="shared" si="103"/>
        <v>12387149.696611969</v>
      </c>
      <c r="J129" s="187">
        <f t="shared" si="103"/>
        <v>12350139.289992392</v>
      </c>
      <c r="K129" s="187">
        <f t="shared" si="103"/>
        <v>12325132.258492677</v>
      </c>
      <c r="L129" s="187">
        <f t="shared" si="103"/>
        <v>12294123.53943303</v>
      </c>
      <c r="M129" s="187">
        <f t="shared" si="103"/>
        <v>12260113.97659342</v>
      </c>
      <c r="N129" s="187">
        <f t="shared" si="103"/>
        <v>12232106.101313738</v>
      </c>
      <c r="O129" s="187">
        <f t="shared" si="103"/>
        <v>12200097.100994105</v>
      </c>
      <c r="P129" s="187">
        <f t="shared" si="103"/>
        <v>12170088.663194446</v>
      </c>
      <c r="Q129" s="17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zoomScale="70" zoomScaleNormal="70" workbookViewId="0">
      <selection activeCell="M7" sqref="M7:M8"/>
    </sheetView>
  </sheetViews>
  <sheetFormatPr defaultRowHeight="15"/>
  <cols>
    <col min="1" max="1" width="14" style="347" customWidth="1"/>
    <col min="2" max="2" width="9.140625" style="347"/>
    <col min="3" max="3" width="25.7109375" style="347" customWidth="1"/>
    <col min="4" max="4" width="12.140625" style="347" customWidth="1"/>
    <col min="5" max="5" width="19.42578125" style="348" customWidth="1"/>
    <col min="6" max="6" width="0.85546875" style="348" customWidth="1"/>
    <col min="7" max="8" width="9.28515625" style="347" bestFit="1" customWidth="1"/>
    <col min="9" max="11" width="12.7109375" style="347" bestFit="1" customWidth="1"/>
    <col min="12" max="14" width="14.28515625" style="347" bestFit="1" customWidth="1"/>
    <col min="15" max="22" width="15.7109375" style="347" bestFit="1" customWidth="1"/>
    <col min="23" max="16384" width="9.140625" style="347"/>
  </cols>
  <sheetData>
    <row r="1" spans="1:22">
      <c r="E1" s="347"/>
      <c r="F1" s="347"/>
    </row>
    <row r="2" spans="1:22" s="348" customFormat="1">
      <c r="A2" s="352"/>
      <c r="B2" s="352"/>
      <c r="C2" s="352"/>
      <c r="D2" s="352"/>
      <c r="E2" s="352" t="s">
        <v>216</v>
      </c>
      <c r="F2" s="370"/>
      <c r="G2" s="352">
        <v>2023</v>
      </c>
      <c r="H2" s="352">
        <f>G2+1</f>
        <v>2024</v>
      </c>
      <c r="I2" s="352">
        <f t="shared" ref="I2:V2" si="0">H2+1</f>
        <v>2025</v>
      </c>
      <c r="J2" s="352">
        <f t="shared" si="0"/>
        <v>2026</v>
      </c>
      <c r="K2" s="352">
        <f t="shared" si="0"/>
        <v>2027</v>
      </c>
      <c r="L2" s="352">
        <f t="shared" si="0"/>
        <v>2028</v>
      </c>
      <c r="M2" s="352">
        <f t="shared" si="0"/>
        <v>2029</v>
      </c>
      <c r="N2" s="352">
        <f t="shared" si="0"/>
        <v>2030</v>
      </c>
      <c r="O2" s="352">
        <f t="shared" si="0"/>
        <v>2031</v>
      </c>
      <c r="P2" s="352">
        <f t="shared" si="0"/>
        <v>2032</v>
      </c>
      <c r="Q2" s="352">
        <f t="shared" si="0"/>
        <v>2033</v>
      </c>
      <c r="R2" s="352">
        <f t="shared" si="0"/>
        <v>2034</v>
      </c>
      <c r="S2" s="352">
        <f t="shared" si="0"/>
        <v>2035</v>
      </c>
      <c r="T2" s="352">
        <f t="shared" si="0"/>
        <v>2036</v>
      </c>
      <c r="U2" s="352">
        <f t="shared" si="0"/>
        <v>2037</v>
      </c>
      <c r="V2" s="352">
        <f t="shared" si="0"/>
        <v>2038</v>
      </c>
    </row>
    <row r="3" spans="1:22" s="349" customFormat="1">
      <c r="A3" s="353"/>
      <c r="B3" s="353"/>
      <c r="C3" s="354" t="s">
        <v>239</v>
      </c>
      <c r="D3" s="355">
        <v>0.115</v>
      </c>
      <c r="E3" s="356">
        <f t="shared" ref="E3:E6" si="1">SUM(G3:U3)</f>
        <v>23212364.16666704</v>
      </c>
      <c r="F3" s="371">
        <f>SUMIFS('кредит 15%'!$D:$D,'кредит 15%'!$A:$A,F2,'кредит 15%'!$B:$B,$C$3)</f>
        <v>0</v>
      </c>
      <c r="G3" s="356">
        <f>SUMIFS('кредит 15%'!$D:$D,'кредит 15%'!$A:$A,G2,'кредит 15%'!$B:$B,$C$3)</f>
        <v>0</v>
      </c>
      <c r="H3" s="356">
        <f>SUMIFS('кредит 15%'!$D:$D,'кредит 15%'!$A:$A,H2,'кредит 15%'!$B:$B,$C$3)</f>
        <v>0</v>
      </c>
      <c r="I3" s="385">
        <f>SUMIFS('кредит 15%'!$D:$D,'кредит 15%'!$A:$A,I2,'кредит 15%'!$B:$B,$C$3)</f>
        <v>0</v>
      </c>
      <c r="J3" s="385">
        <f>SUMIFS('кредит 15%'!$D:$D,'кредит 15%'!$A:$A,J2,'кредит 15%'!$B:$B,$C$3)</f>
        <v>0</v>
      </c>
      <c r="K3" s="385">
        <f>SUMIFS('кредит 15%'!$D:$D,'кредит 15%'!$A:$A,K2,'кредит 15%'!$B:$B,$C$3)</f>
        <v>0</v>
      </c>
      <c r="L3" s="385">
        <f>SUMIFS('кредит 15%'!$D:$D,'кредит 15%'!$A:$A,L2,'кредит 15%'!$B:$B,$C$3)</f>
        <v>0</v>
      </c>
      <c r="M3" s="385">
        <f>SUMIFS('кредит 15%'!$D:$D,'кредит 15%'!$A:$A,M2,'кредит 15%'!$B:$B,$C$3)</f>
        <v>11606182.08333352</v>
      </c>
      <c r="N3" s="385">
        <f>SUMIFS('кредит 15%'!$D:$D,'кредит 15%'!$A:$A,N2,'кредит 15%'!$B:$B,$C$3)</f>
        <v>11606182.08333352</v>
      </c>
      <c r="O3" s="356">
        <f>SUMIFS('кредит 15%'!$D:$D,'кредит 15%'!$A:$A,O2,'кредит 15%'!$B:$B,$C$3)</f>
        <v>0</v>
      </c>
      <c r="P3" s="356">
        <f>SUMIFS('кредит 15%'!$D:$D,'кредит 15%'!$A:$A,P2,'кредит 15%'!$B:$B,$C$3)</f>
        <v>0</v>
      </c>
      <c r="Q3" s="356">
        <f>SUMIFS('кредит 15%'!$D:$D,'кредит 15%'!$A:$A,Q2,'кредит 15%'!$B:$B,$C$3)</f>
        <v>0</v>
      </c>
      <c r="R3" s="356">
        <f>SUMIFS('кредит 15%'!$D:$D,'кредит 15%'!$A:$A,R2,'кредит 15%'!$B:$B,$C$3)</f>
        <v>0</v>
      </c>
      <c r="S3" s="356">
        <f>SUMIFS('кредит 15%'!$D:$D,'кредит 15%'!$A:$A,S2,'кредит 15%'!$B:$B,$C$3)</f>
        <v>0</v>
      </c>
      <c r="T3" s="356">
        <f>SUMIFS('кредит 15%'!$D:$D,'кредит 15%'!$A:$A,T2,'кредит 15%'!$B:$B,$C$3)</f>
        <v>0</v>
      </c>
      <c r="U3" s="356">
        <f>SUMIFS('кредит 15%'!$D:$D,'кредит 15%'!$A:$A,U2,'кредит 15%'!$B:$B,$C$3)</f>
        <v>0</v>
      </c>
      <c r="V3" s="356">
        <f>SUMIFS('кредит 15%'!$D:$D,'кредит 15%'!$A:$A,V2,'кредит 15%'!$B:$B,$C$3)</f>
        <v>0</v>
      </c>
    </row>
    <row r="4" spans="1:22">
      <c r="A4" s="357"/>
      <c r="B4" s="357"/>
      <c r="C4" s="358" t="str">
        <f>C3</f>
        <v>Размер транша погашения основного долга</v>
      </c>
      <c r="D4" s="359">
        <v>0.03</v>
      </c>
      <c r="E4" s="360">
        <f>SUM(G4:V4)</f>
        <v>1168328511.6666667</v>
      </c>
      <c r="F4" s="371"/>
      <c r="G4" s="356">
        <f>SUMIFS('кредит 3%'!$D:$D,'кредит 3%'!$A:$A,G2,'кредит 3%'!$B:$B,$C$4)</f>
        <v>0</v>
      </c>
      <c r="H4" s="356">
        <f>SUMIFS('кредит 3%'!$D:$D,'кредит 3%'!$A:$A,H2,'кредит 3%'!$B:$B,$C$4)</f>
        <v>0</v>
      </c>
      <c r="I4" s="356">
        <f>SUMIFS('кредит 3%'!$D:$D,'кредит 3%'!$A:$A,I2,'кредит 3%'!$B:$B,$C$4)</f>
        <v>0</v>
      </c>
      <c r="J4" s="356">
        <f>SUMIFS('кредит 3%'!$D:$D,'кредит 3%'!$A:$A,J2,'кредит 3%'!$B:$B,$C$4)</f>
        <v>0</v>
      </c>
      <c r="K4" s="356">
        <f>SUMIFS('кредит 3%'!$D:$D,'кредит 3%'!$A:$A,K2,'кредит 3%'!$B:$B,$C$4)</f>
        <v>0</v>
      </c>
      <c r="L4" s="356">
        <f>SUMIFS('кредит 3%'!$D:$D,'кредит 3%'!$A:$A,L2,'кредит 3%'!$B:$B,$C$4)</f>
        <v>0</v>
      </c>
      <c r="M4" s="356">
        <f>SUMIFS('кредит 3%'!$D:$D,'кредит 3%'!$A:$A,M2,'кредит 3%'!$B:$B,$C$4)</f>
        <v>0</v>
      </c>
      <c r="N4" s="356">
        <f>SUMIFS('кредит 3%'!$D:$D,'кредит 3%'!$A:$A,N2,'кредит 3%'!$B:$B,$C$4)</f>
        <v>0</v>
      </c>
      <c r="O4" s="356">
        <f>SUMIFS('кредит 3%'!$D:$D,'кредит 3%'!$A:$A,O2,'кредит 3%'!$B:$B,$C$4)</f>
        <v>146041063.95833334</v>
      </c>
      <c r="P4" s="356">
        <f>SUMIFS('кредит 3%'!$D:$D,'кредит 3%'!$A:$A,P2,'кредит 3%'!$B:$B,$C$4)</f>
        <v>146041063.95833334</v>
      </c>
      <c r="Q4" s="356">
        <f>SUMIFS('кредит 3%'!$D:$D,'кредит 3%'!$A:$A,Q2,'кредит 3%'!$B:$B,$C$4)</f>
        <v>146041063.95833334</v>
      </c>
      <c r="R4" s="356">
        <f>SUMIFS('кредит 3%'!$D:$D,'кредит 3%'!$A:$A,R2,'кредит 3%'!$B:$B,$C$4)</f>
        <v>146041063.95833334</v>
      </c>
      <c r="S4" s="356">
        <f>SUMIFS('кредит 3%'!$D:$D,'кредит 3%'!$A:$A,S2,'кредит 3%'!$B:$B,$C$4)</f>
        <v>146041063.95833334</v>
      </c>
      <c r="T4" s="356">
        <f>SUMIFS('кредит 3%'!$D:$D,'кредит 3%'!$A:$A,T2,'кредит 3%'!$B:$B,$C$4)</f>
        <v>146041063.95833334</v>
      </c>
      <c r="U4" s="356">
        <f>SUMIFS('кредит 3%'!$D:$D,'кредит 3%'!$A:$A,U2,'кредит 3%'!$B:$B,$C$4)</f>
        <v>146041063.95833334</v>
      </c>
      <c r="V4" s="356">
        <f>SUMIFS('кредит 3%'!$D:$D,'кредит 3%'!$A:$A,V2,'кредит 3%'!$B:$B,$C$4)</f>
        <v>146041063.95833334</v>
      </c>
    </row>
    <row r="5" spans="1:22" s="350" customFormat="1">
      <c r="A5" s="361"/>
      <c r="B5" s="361"/>
      <c r="C5" s="362"/>
      <c r="D5" s="362" t="s">
        <v>276</v>
      </c>
      <c r="E5" s="363">
        <f>SUM(G5:V6)</f>
        <v>1191540875.833334</v>
      </c>
      <c r="F5" s="372"/>
      <c r="G5" s="363">
        <f>G3+G4</f>
        <v>0</v>
      </c>
      <c r="H5" s="363">
        <f t="shared" ref="H5:U5" si="2">H3+H4</f>
        <v>0</v>
      </c>
      <c r="I5" s="363">
        <f t="shared" si="2"/>
        <v>0</v>
      </c>
      <c r="J5" s="363">
        <f t="shared" si="2"/>
        <v>0</v>
      </c>
      <c r="K5" s="363">
        <f t="shared" si="2"/>
        <v>0</v>
      </c>
      <c r="L5" s="363">
        <f t="shared" si="2"/>
        <v>0</v>
      </c>
      <c r="M5" s="363">
        <f t="shared" si="2"/>
        <v>11606182.08333352</v>
      </c>
      <c r="N5" s="363">
        <f t="shared" si="2"/>
        <v>11606182.08333352</v>
      </c>
      <c r="O5" s="363">
        <f t="shared" si="2"/>
        <v>146041063.95833334</v>
      </c>
      <c r="P5" s="363">
        <f t="shared" si="2"/>
        <v>146041063.95833334</v>
      </c>
      <c r="Q5" s="363">
        <f t="shared" si="2"/>
        <v>146041063.95833334</v>
      </c>
      <c r="R5" s="363">
        <f t="shared" si="2"/>
        <v>146041063.95833334</v>
      </c>
      <c r="S5" s="363">
        <f t="shared" si="2"/>
        <v>146041063.95833334</v>
      </c>
      <c r="T5" s="363">
        <f t="shared" si="2"/>
        <v>146041063.95833334</v>
      </c>
      <c r="U5" s="363">
        <f t="shared" si="2"/>
        <v>146041063.95833334</v>
      </c>
      <c r="V5" s="363">
        <f t="shared" ref="V5" si="3">V3+V4</f>
        <v>146041063.95833334</v>
      </c>
    </row>
    <row r="6" spans="1:22" s="349" customFormat="1" ht="3" customHeight="1">
      <c r="A6" s="364"/>
      <c r="B6" s="364"/>
      <c r="C6" s="365"/>
      <c r="D6" s="365"/>
      <c r="E6" s="366">
        <f t="shared" si="1"/>
        <v>0</v>
      </c>
      <c r="F6" s="372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</row>
    <row r="7" spans="1:22" s="349" customFormat="1">
      <c r="A7" s="353"/>
      <c r="B7" s="353"/>
      <c r="C7" s="354" t="s">
        <v>243</v>
      </c>
      <c r="D7" s="355">
        <f>D3</f>
        <v>0.115</v>
      </c>
      <c r="E7" s="367">
        <f>SUM(G7:V7)</f>
        <v>15211776.582534416</v>
      </c>
      <c r="F7" s="372"/>
      <c r="G7" s="356">
        <f>SUMIFS('кредит 15%'!$D:$D,'кредит 15%'!$A:$A,G2,'кредит 15%'!$B:$B,$C$7)</f>
        <v>0</v>
      </c>
      <c r="H7" s="356">
        <f>SUMIFS('кредит 15%'!$D:$D,'кредит 15%'!$A:$A,H2,'кредит 15%'!$B:$B,$C$7)</f>
        <v>0</v>
      </c>
      <c r="I7" s="356">
        <f>SUMIFS('кредит 15%'!$D:$D,'кредит 15%'!$A:$A,I2,'кредит 15%'!$B:$B,$C$7)</f>
        <v>2175570.4505707794</v>
      </c>
      <c r="J7" s="356">
        <f>SUMIFS('кредит 15%'!$D:$D,'кредит 15%'!$A:$A,J2,'кредит 15%'!$B:$B,$C$7)</f>
        <v>2805726.4377853945</v>
      </c>
      <c r="K7" s="356">
        <f>SUMIFS('кредит 15%'!$D:$D,'кредит 15%'!$A:$A,K2,'кредит 15%'!$B:$B,$C$7)</f>
        <v>3419399.6880137497</v>
      </c>
      <c r="L7" s="356">
        <f>SUMIFS('кредит 15%'!$D:$D,'кредит 15%'!$A:$A,L2,'кредит 15%'!$B:$B,$C$7)</f>
        <v>3481854.6250000563</v>
      </c>
      <c r="M7" s="356">
        <f>SUMIFS('кредит 15%'!$D:$D,'кредит 15%'!$A:$A,M2,'кредит 15%'!$B:$B,$C$7)</f>
        <v>2535076.3468322325</v>
      </c>
      <c r="N7" s="356">
        <f>SUMIFS('кредит 15%'!$D:$D,'кредит 15%'!$A:$A,N2,'кредит 15%'!$B:$B,$C$7)</f>
        <v>794149.03433220426</v>
      </c>
      <c r="O7" s="356">
        <f>SUMIFS('кредит 15%'!$D:$D,'кредит 15%'!$A:$A,O2,'кредит 15%'!$B:$B,$C$7)</f>
        <v>0</v>
      </c>
      <c r="P7" s="356">
        <f>SUMIFS('кредит 15%'!$D:$D,'кредит 15%'!$A:$A,P2,'кредит 15%'!$B:$B,$C$7)</f>
        <v>0</v>
      </c>
      <c r="Q7" s="356">
        <f>SUMIFS('кредит 15%'!$D:$D,'кредит 15%'!$A:$A,Q2,'кредит 15%'!$B:$B,$C$7)</f>
        <v>0</v>
      </c>
      <c r="R7" s="356">
        <f>SUMIFS('кредит 15%'!$D:$D,'кредит 15%'!$A:$A,R2,'кредит 15%'!$B:$B,$C$7)</f>
        <v>0</v>
      </c>
      <c r="S7" s="356">
        <f>SUMIFS('кредит 15%'!$D:$D,'кредит 15%'!$A:$A,S2,'кредит 15%'!$B:$B,$C$7)</f>
        <v>0</v>
      </c>
      <c r="T7" s="356">
        <f>SUMIFS('кредит 15%'!$D:$D,'кредит 15%'!$A:$A,T2,'кредит 15%'!$B:$B,$C$7)</f>
        <v>0</v>
      </c>
      <c r="U7" s="356">
        <f>SUMIFS('кредит 15%'!$D:$D,'кредит 15%'!$A:$A,U2,'кредит 15%'!$B:$B,$C$7)</f>
        <v>0</v>
      </c>
      <c r="V7" s="356">
        <f>SUMIFS('кредит 15%'!$D:$D,'кредит 15%'!$A:$A,V2,'кредит 15%'!$B:$B,$C$7)</f>
        <v>0</v>
      </c>
    </row>
    <row r="8" spans="1:22">
      <c r="A8" s="357"/>
      <c r="B8" s="357"/>
      <c r="C8" s="358" t="str">
        <f>C7</f>
        <v xml:space="preserve">Размер погашения процентов </v>
      </c>
      <c r="D8" s="359">
        <f>D4</f>
        <v>0.03</v>
      </c>
      <c r="E8" s="368">
        <f>SUM(G8:V8)</f>
        <v>227757068.26067007</v>
      </c>
      <c r="F8" s="372"/>
      <c r="G8" s="356">
        <f>SUMIFS('кредит 3%'!$D:$D,'кредит 3%'!$A:$A,G2,'кредит 3%'!$B:$B,$C$8)</f>
        <v>0</v>
      </c>
      <c r="H8" s="356">
        <f>SUMIFS('кредит 3%'!$D:$D,'кредит 3%'!$A:$A,H2,'кредит 3%'!$B:$B,$C$8)</f>
        <v>0</v>
      </c>
      <c r="I8" s="356">
        <f>SUMIFS('кредит 3%'!$D:$D,'кредит 3%'!$A:$A,I2,'кредит 3%'!$B:$B,$C$8)</f>
        <v>0</v>
      </c>
      <c r="J8" s="356">
        <f>SUMIFS('кредит 3%'!$D:$D,'кредит 3%'!$A:$A,J2,'кредит 3%'!$B:$B,$C$8)</f>
        <v>0</v>
      </c>
      <c r="K8" s="356">
        <f>SUMIFS('кредит 3%'!$D:$D,'кредит 3%'!$A:$A,K2,'кредит 3%'!$B:$B,$C$8)</f>
        <v>0</v>
      </c>
      <c r="L8" s="356">
        <f>SUMIFS('кредит 3%'!$D:$D,'кредит 3%'!$A:$A,L2,'кредит 3%'!$B:$B,$C$8)</f>
        <v>18985338.314583331</v>
      </c>
      <c r="M8" s="356">
        <f>SUMIFS('кредит 3%'!$D:$D,'кредит 3%'!$A:$A,M2,'кредит 3%'!$B:$B,$C$8)</f>
        <v>35049855.350000001</v>
      </c>
      <c r="N8" s="356">
        <f>SUMIFS('кредит 3%'!$D:$D,'кредит 3%'!$A:$A,N2,'кредит 3%'!$B:$B,$C$8)</f>
        <v>35049855.350000001</v>
      </c>
      <c r="O8" s="356">
        <f>SUMIFS('кредит 3%'!$D:$D,'кредит 3%'!$A:$A,O2,'кредит 3%'!$B:$B,$C$8)</f>
        <v>32667185.388707191</v>
      </c>
      <c r="P8" s="356">
        <f>SUMIFS('кредит 3%'!$D:$D,'кредит 3%'!$A:$A,P2,'кредит 3%'!$B:$B,$C$8)</f>
        <v>28290468.400671683</v>
      </c>
      <c r="Q8" s="356">
        <f>SUMIFS('кредит 3%'!$D:$D,'кредит 3%'!$A:$A,Q2,'кредит 3%'!$B:$B,$C$8)</f>
        <v>23904721.551207207</v>
      </c>
      <c r="R8" s="356">
        <f>SUMIFS('кредит 3%'!$D:$D,'кредит 3%'!$A:$A,R2,'кредит 3%'!$B:$B,$C$8)</f>
        <v>19523489.632457219</v>
      </c>
      <c r="S8" s="356">
        <f>SUMIFS('кредит 3%'!$D:$D,'кредит 3%'!$A:$A,S2,'кредит 3%'!$B:$B,$C$8)</f>
        <v>15142257.713707229</v>
      </c>
      <c r="T8" s="356">
        <f>SUMIFS('кредит 3%'!$D:$D,'кредит 3%'!$A:$A,T2,'кредит 3%'!$B:$B,$C$8)</f>
        <v>10765540.725671723</v>
      </c>
      <c r="U8" s="356">
        <f>SUMIFS('кредит 3%'!$D:$D,'кредит 3%'!$A:$A,U2,'кредит 3%'!$B:$B,$C$8)</f>
        <v>6379793.8762072446</v>
      </c>
      <c r="V8" s="356">
        <f>SUMIFS('кредит 3%'!$D:$D,'кредит 3%'!$A:$A,V2,'кредит 3%'!$B:$B,$C$8)</f>
        <v>1998561.9574572439</v>
      </c>
    </row>
    <row r="9" spans="1:22" s="350" customFormat="1">
      <c r="A9" s="361"/>
      <c r="B9" s="361"/>
      <c r="C9" s="362"/>
      <c r="D9" s="362" t="s">
        <v>277</v>
      </c>
      <c r="E9" s="363"/>
      <c r="F9" s="372"/>
      <c r="G9" s="363">
        <f>G7+G8</f>
        <v>0</v>
      </c>
      <c r="H9" s="363">
        <f t="shared" ref="H9:U9" si="4">H7+H8</f>
        <v>0</v>
      </c>
      <c r="I9" s="363">
        <f t="shared" si="4"/>
        <v>2175570.4505707794</v>
      </c>
      <c r="J9" s="363">
        <f t="shared" si="4"/>
        <v>2805726.4377853945</v>
      </c>
      <c r="K9" s="363">
        <f t="shared" si="4"/>
        <v>3419399.6880137497</v>
      </c>
      <c r="L9" s="363">
        <f t="shared" si="4"/>
        <v>22467192.939583387</v>
      </c>
      <c r="M9" s="363">
        <f t="shared" si="4"/>
        <v>37584931.696832232</v>
      </c>
      <c r="N9" s="363">
        <f t="shared" si="4"/>
        <v>35844004.384332202</v>
      </c>
      <c r="O9" s="363">
        <f t="shared" si="4"/>
        <v>32667185.388707191</v>
      </c>
      <c r="P9" s="363">
        <f t="shared" si="4"/>
        <v>28290468.400671683</v>
      </c>
      <c r="Q9" s="363">
        <f t="shared" si="4"/>
        <v>23904721.551207207</v>
      </c>
      <c r="R9" s="363">
        <f t="shared" si="4"/>
        <v>19523489.632457219</v>
      </c>
      <c r="S9" s="363">
        <f t="shared" si="4"/>
        <v>15142257.713707229</v>
      </c>
      <c r="T9" s="363">
        <f t="shared" si="4"/>
        <v>10765540.725671723</v>
      </c>
      <c r="U9" s="363">
        <f t="shared" si="4"/>
        <v>6379793.8762072446</v>
      </c>
      <c r="V9" s="363">
        <f t="shared" ref="V9" si="5">V7+V8</f>
        <v>1998561.9574572439</v>
      </c>
    </row>
    <row r="10" spans="1:22">
      <c r="A10" s="357"/>
      <c r="B10" s="357"/>
      <c r="C10" s="357" t="s">
        <v>278</v>
      </c>
      <c r="D10" s="357"/>
      <c r="E10" s="407">
        <f>E7+E8</f>
        <v>242968844.84320447</v>
      </c>
      <c r="F10" s="370"/>
      <c r="G10" s="369">
        <f>G3+G4+G7+G8</f>
        <v>0</v>
      </c>
      <c r="H10" s="369">
        <f t="shared" ref="H10:U10" si="6">H3+H4+H7+H8</f>
        <v>0</v>
      </c>
      <c r="I10" s="369">
        <f>I3+I4+I7+I8</f>
        <v>2175570.4505707794</v>
      </c>
      <c r="J10" s="369">
        <f t="shared" si="6"/>
        <v>2805726.4377853945</v>
      </c>
      <c r="K10" s="369">
        <f t="shared" si="6"/>
        <v>3419399.6880137497</v>
      </c>
      <c r="L10" s="369">
        <f>L3+L4+L7+L8</f>
        <v>22467192.939583387</v>
      </c>
      <c r="M10" s="369">
        <f t="shared" si="6"/>
        <v>49191113.780165754</v>
      </c>
      <c r="N10" s="369">
        <f t="shared" si="6"/>
        <v>47450186.467665724</v>
      </c>
      <c r="O10" s="373">
        <f>O3+O4+O7+O8</f>
        <v>178708249.34704053</v>
      </c>
      <c r="P10" s="369">
        <f t="shared" si="6"/>
        <v>174331532.35900503</v>
      </c>
      <c r="Q10" s="369">
        <f t="shared" si="6"/>
        <v>169945785.50954056</v>
      </c>
      <c r="R10" s="369">
        <f t="shared" si="6"/>
        <v>165564553.59079057</v>
      </c>
      <c r="S10" s="369">
        <f t="shared" si="6"/>
        <v>161183321.67204058</v>
      </c>
      <c r="T10" s="369">
        <f t="shared" si="6"/>
        <v>156806604.68400508</v>
      </c>
      <c r="U10" s="369">
        <f t="shared" si="6"/>
        <v>152420857.83454058</v>
      </c>
      <c r="V10" s="369">
        <f t="shared" ref="V10" si="7">V3+V4+V7+V8</f>
        <v>148039625.91579059</v>
      </c>
    </row>
    <row r="11" spans="1:22">
      <c r="E11" s="347"/>
      <c r="F11" s="347"/>
    </row>
    <row r="12" spans="1:22">
      <c r="E12" s="348" t="b">
        <f>E4='кредит 3%'!D5</f>
        <v>1</v>
      </c>
      <c r="F12" s="347"/>
      <c r="I12" s="351">
        <f>I9/1000</f>
        <v>2175.5704505707795</v>
      </c>
      <c r="J12" s="351">
        <f t="shared" ref="J12:U12" si="8">J9/1000</f>
        <v>2805.7264377853944</v>
      </c>
      <c r="K12" s="351">
        <f t="shared" si="8"/>
        <v>3419.3996880137497</v>
      </c>
      <c r="L12" s="351">
        <f t="shared" si="8"/>
        <v>22467.192939583387</v>
      </c>
      <c r="M12" s="351">
        <f t="shared" si="8"/>
        <v>37584.931696832231</v>
      </c>
      <c r="N12" s="351">
        <f t="shared" si="8"/>
        <v>35844.004384332206</v>
      </c>
      <c r="O12" s="351">
        <f t="shared" si="8"/>
        <v>32667.185388707192</v>
      </c>
      <c r="P12" s="351">
        <f t="shared" si="8"/>
        <v>28290.468400671682</v>
      </c>
      <c r="Q12" s="351">
        <f t="shared" si="8"/>
        <v>23904.721551207207</v>
      </c>
      <c r="R12" s="351">
        <f t="shared" si="8"/>
        <v>19523.489632457218</v>
      </c>
      <c r="S12" s="351">
        <f t="shared" si="8"/>
        <v>15142.257713707229</v>
      </c>
      <c r="T12" s="351">
        <f t="shared" si="8"/>
        <v>10765.540725671723</v>
      </c>
      <c r="U12" s="351">
        <f t="shared" si="8"/>
        <v>6379.7938762072445</v>
      </c>
      <c r="V12" s="351">
        <f t="shared" ref="V12" si="9">V9/1000</f>
        <v>1998.561957457244</v>
      </c>
    </row>
    <row r="16" spans="1:22">
      <c r="E16" s="34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zoomScale="70" zoomScaleNormal="70" workbookViewId="0">
      <selection activeCell="K9" sqref="K9"/>
    </sheetView>
  </sheetViews>
  <sheetFormatPr defaultColWidth="9.140625" defaultRowHeight="14.25"/>
  <cols>
    <col min="1" max="1" width="7" style="241" bestFit="1" customWidth="1"/>
    <col min="2" max="2" width="30.42578125" style="241" customWidth="1"/>
    <col min="3" max="3" width="13.7109375" style="241" bestFit="1" customWidth="1"/>
    <col min="4" max="4" width="10.7109375" style="241" bestFit="1" customWidth="1"/>
    <col min="5" max="19" width="15.140625" style="241" customWidth="1"/>
    <col min="20" max="20" width="44" style="241" customWidth="1"/>
    <col min="21" max="16384" width="9.140625" style="241"/>
  </cols>
  <sheetData>
    <row r="1" spans="1:20" s="235" customFormat="1" ht="20.25" thickBot="1">
      <c r="A1" s="235" t="s">
        <v>267</v>
      </c>
    </row>
    <row r="2" spans="1:20" ht="30">
      <c r="A2" s="236" t="s">
        <v>0</v>
      </c>
      <c r="B2" s="237" t="s">
        <v>249</v>
      </c>
      <c r="C2" s="238">
        <v>2023</v>
      </c>
      <c r="D2" s="238">
        <v>2024</v>
      </c>
      <c r="E2" s="238">
        <v>2025</v>
      </c>
      <c r="F2" s="238">
        <v>2026</v>
      </c>
      <c r="G2" s="238">
        <v>2027</v>
      </c>
      <c r="H2" s="238">
        <f>G2+1</f>
        <v>2028</v>
      </c>
      <c r="I2" s="239">
        <f>H2+1</f>
        <v>2029</v>
      </c>
      <c r="J2" s="239">
        <f t="shared" ref="J2:R2" si="0">I2+1</f>
        <v>2030</v>
      </c>
      <c r="K2" s="239">
        <f t="shared" si="0"/>
        <v>2031</v>
      </c>
      <c r="L2" s="239">
        <f t="shared" si="0"/>
        <v>2032</v>
      </c>
      <c r="M2" s="239">
        <f t="shared" si="0"/>
        <v>2033</v>
      </c>
      <c r="N2" s="239">
        <f t="shared" si="0"/>
        <v>2034</v>
      </c>
      <c r="O2" s="239">
        <f t="shared" si="0"/>
        <v>2035</v>
      </c>
      <c r="P2" s="239">
        <f t="shared" si="0"/>
        <v>2036</v>
      </c>
      <c r="Q2" s="239">
        <f t="shared" si="0"/>
        <v>2037</v>
      </c>
      <c r="R2" s="239">
        <f t="shared" si="0"/>
        <v>2038</v>
      </c>
      <c r="S2" s="239" t="s">
        <v>216</v>
      </c>
      <c r="T2" s="240" t="s">
        <v>250</v>
      </c>
    </row>
    <row r="3" spans="1:20" ht="15.75" thickBot="1">
      <c r="A3" s="242">
        <v>1</v>
      </c>
      <c r="B3" s="243">
        <v>2</v>
      </c>
      <c r="C3" s="244">
        <v>3</v>
      </c>
      <c r="D3" s="245">
        <f>C3+1</f>
        <v>4</v>
      </c>
      <c r="E3" s="245">
        <f t="shared" ref="E3:J3" si="1">D3+1</f>
        <v>5</v>
      </c>
      <c r="F3" s="245">
        <f t="shared" si="1"/>
        <v>6</v>
      </c>
      <c r="G3" s="245">
        <f t="shared" si="1"/>
        <v>7</v>
      </c>
      <c r="H3" s="245">
        <f t="shared" si="1"/>
        <v>8</v>
      </c>
      <c r="I3" s="245">
        <f t="shared" si="1"/>
        <v>9</v>
      </c>
      <c r="J3" s="245">
        <f t="shared" si="1"/>
        <v>10</v>
      </c>
      <c r="K3" s="245">
        <f t="shared" ref="K3:L3" si="2">J3+1</f>
        <v>11</v>
      </c>
      <c r="L3" s="245">
        <f t="shared" si="2"/>
        <v>12</v>
      </c>
      <c r="M3" s="245">
        <f t="shared" ref="M3:N3" si="3">L3+1</f>
        <v>13</v>
      </c>
      <c r="N3" s="245">
        <f t="shared" si="3"/>
        <v>14</v>
      </c>
      <c r="O3" s="245">
        <f t="shared" ref="O3" si="4">N3+1</f>
        <v>15</v>
      </c>
      <c r="P3" s="245">
        <f t="shared" ref="P3" si="5">O3+1</f>
        <v>16</v>
      </c>
      <c r="Q3" s="245">
        <f t="shared" ref="Q3:R3" si="6">P3+1</f>
        <v>17</v>
      </c>
      <c r="R3" s="245">
        <f t="shared" si="6"/>
        <v>18</v>
      </c>
      <c r="S3" s="245">
        <f t="shared" ref="S3:T3" si="7">R3+1</f>
        <v>19</v>
      </c>
      <c r="T3" s="345">
        <f t="shared" si="7"/>
        <v>20</v>
      </c>
    </row>
    <row r="4" spans="1:20" ht="15">
      <c r="A4" s="246">
        <v>1</v>
      </c>
      <c r="B4" s="247" t="s">
        <v>251</v>
      </c>
      <c r="C4" s="248"/>
      <c r="D4" s="248"/>
      <c r="E4" s="248"/>
      <c r="F4" s="248"/>
      <c r="G4" s="248"/>
      <c r="H4" s="248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50"/>
    </row>
    <row r="5" spans="1:20" ht="15">
      <c r="A5" s="251">
        <v>2</v>
      </c>
      <c r="B5" s="252" t="s">
        <v>252</v>
      </c>
      <c r="C5" s="253">
        <v>0</v>
      </c>
      <c r="D5" s="254">
        <v>0</v>
      </c>
      <c r="E5" s="254">
        <v>0</v>
      </c>
      <c r="F5" s="254">
        <f>E5+E6</f>
        <v>16090.8452777778</v>
      </c>
      <c r="G5" s="254">
        <f>F5+F6</f>
        <v>18990.873055555596</v>
      </c>
      <c r="H5" s="254">
        <f>G5+G6</f>
        <v>23212.364166667045</v>
      </c>
      <c r="I5" s="254">
        <f>H5+H6</f>
        <v>1191540.8758333335</v>
      </c>
      <c r="J5" s="254">
        <f t="shared" ref="J5" si="8">I5+I6</f>
        <v>1191540.8758333335</v>
      </c>
      <c r="K5" s="254">
        <f>J5+J6-J7</f>
        <v>1179934.6937499999</v>
      </c>
      <c r="L5" s="254">
        <f t="shared" ref="L5:R5" si="9">K5+K6-K7</f>
        <v>1033893.6297916665</v>
      </c>
      <c r="M5" s="254">
        <f t="shared" si="9"/>
        <v>887852.56583333318</v>
      </c>
      <c r="N5" s="254">
        <f t="shared" si="9"/>
        <v>741811.50187499984</v>
      </c>
      <c r="O5" s="254">
        <f t="shared" si="9"/>
        <v>595770.4379166665</v>
      </c>
      <c r="P5" s="254">
        <f t="shared" si="9"/>
        <v>449729.37395833316</v>
      </c>
      <c r="Q5" s="254">
        <f t="shared" si="9"/>
        <v>303688.30999999982</v>
      </c>
      <c r="R5" s="254">
        <f t="shared" si="9"/>
        <v>157647.24604166648</v>
      </c>
      <c r="S5" s="254"/>
      <c r="T5" s="255" t="s">
        <v>253</v>
      </c>
    </row>
    <row r="6" spans="1:20" ht="15">
      <c r="A6" s="251">
        <v>3</v>
      </c>
      <c r="B6" s="252" t="s">
        <v>254</v>
      </c>
      <c r="C6" s="256">
        <v>0</v>
      </c>
      <c r="D6" s="256">
        <v>0</v>
      </c>
      <c r="E6" s="256">
        <f>'кредит 15%'!D33/1000</f>
        <v>16090.8452777778</v>
      </c>
      <c r="F6" s="256">
        <f>'кредит 15%'!D40/1000</f>
        <v>2900.0277777777956</v>
      </c>
      <c r="G6" s="256">
        <f>'кредит 15%'!D47/1000</f>
        <v>4221.4911111114488</v>
      </c>
      <c r="H6" s="256">
        <f>'кредит 3%'!D54/1000</f>
        <v>1168328.5116666665</v>
      </c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4">
        <f t="shared" ref="S6:S10" si="10">SUM(C6:R6)</f>
        <v>1191540.8758333335</v>
      </c>
      <c r="T6" s="255" t="s">
        <v>255</v>
      </c>
    </row>
    <row r="7" spans="1:20" ht="15">
      <c r="A7" s="251">
        <v>4</v>
      </c>
      <c r="B7" s="252" t="s">
        <v>256</v>
      </c>
      <c r="C7" s="254">
        <f>'свод кредиты'!G5/1000</f>
        <v>0</v>
      </c>
      <c r="D7" s="254">
        <f>'свод кредиты'!H5/1000</f>
        <v>0</v>
      </c>
      <c r="E7" s="254">
        <f>'свод кредиты'!I5/1000</f>
        <v>0</v>
      </c>
      <c r="F7" s="254">
        <f>'свод кредиты'!J5/1000</f>
        <v>0</v>
      </c>
      <c r="G7" s="254">
        <f>'свод кредиты'!K5/1000</f>
        <v>0</v>
      </c>
      <c r="H7" s="254">
        <f>'свод кредиты'!L5/1000</f>
        <v>0</v>
      </c>
      <c r="I7" s="254">
        <f>'свод кредиты'!M5/1000</f>
        <v>11606.18208333352</v>
      </c>
      <c r="J7" s="254">
        <f>'свод кредиты'!N5/1000</f>
        <v>11606.18208333352</v>
      </c>
      <c r="K7" s="254">
        <f>'свод кредиты'!O5/1000</f>
        <v>146041.06395833334</v>
      </c>
      <c r="L7" s="254">
        <f>'свод кредиты'!P5/1000</f>
        <v>146041.06395833334</v>
      </c>
      <c r="M7" s="254">
        <f>'свод кредиты'!Q5/1000</f>
        <v>146041.06395833334</v>
      </c>
      <c r="N7" s="254">
        <f>'свод кредиты'!R5/1000</f>
        <v>146041.06395833334</v>
      </c>
      <c r="O7" s="254">
        <f>'свод кредиты'!S5/1000</f>
        <v>146041.06395833334</v>
      </c>
      <c r="P7" s="254">
        <f>'свод кредиты'!T5/1000</f>
        <v>146041.06395833334</v>
      </c>
      <c r="Q7" s="254">
        <f>'свод кредиты'!U5/1000</f>
        <v>146041.06395833334</v>
      </c>
      <c r="R7" s="254">
        <f>'свод кредиты'!V5/1000</f>
        <v>146041.06395833334</v>
      </c>
      <c r="S7" s="254">
        <f t="shared" si="10"/>
        <v>1191540.8758333337</v>
      </c>
      <c r="T7" s="255" t="s">
        <v>257</v>
      </c>
    </row>
    <row r="8" spans="1:20" ht="15">
      <c r="A8" s="251">
        <v>5</v>
      </c>
      <c r="B8" s="252" t="s">
        <v>258</v>
      </c>
      <c r="C8" s="254">
        <f t="shared" ref="C8:F8" si="11">C5+C6-C7</f>
        <v>0</v>
      </c>
      <c r="D8" s="254">
        <f t="shared" si="11"/>
        <v>0</v>
      </c>
      <c r="E8" s="254">
        <f>E5+E6-E7</f>
        <v>16090.8452777778</v>
      </c>
      <c r="F8" s="254">
        <f t="shared" si="11"/>
        <v>18990.873055555596</v>
      </c>
      <c r="G8" s="254">
        <f>G5+G6-G7</f>
        <v>23212.364166667045</v>
      </c>
      <c r="H8" s="254">
        <f>H5+H6-H7</f>
        <v>1191540.8758333335</v>
      </c>
      <c r="I8" s="254">
        <f>I5+I6-I7</f>
        <v>1179934.6937499999</v>
      </c>
      <c r="J8" s="254">
        <f t="shared" ref="J8:R8" si="12">J5+J6-J7</f>
        <v>1179934.6937499999</v>
      </c>
      <c r="K8" s="254">
        <f>K5+K6-K7</f>
        <v>1033893.6297916665</v>
      </c>
      <c r="L8" s="254">
        <f t="shared" si="12"/>
        <v>887852.56583333318</v>
      </c>
      <c r="M8" s="254">
        <f t="shared" si="12"/>
        <v>741811.50187499984</v>
      </c>
      <c r="N8" s="254">
        <f t="shared" si="12"/>
        <v>595770.4379166665</v>
      </c>
      <c r="O8" s="254">
        <f t="shared" si="12"/>
        <v>449729.37395833316</v>
      </c>
      <c r="P8" s="254">
        <f t="shared" si="12"/>
        <v>303688.30999999982</v>
      </c>
      <c r="Q8" s="254">
        <f t="shared" si="12"/>
        <v>157647.24604166648</v>
      </c>
      <c r="R8" s="254">
        <f t="shared" si="12"/>
        <v>11606.182083333144</v>
      </c>
      <c r="S8" s="254"/>
      <c r="T8" s="255" t="s">
        <v>259</v>
      </c>
    </row>
    <row r="9" spans="1:20" ht="15">
      <c r="A9" s="251">
        <v>7</v>
      </c>
      <c r="B9" s="252" t="s">
        <v>260</v>
      </c>
      <c r="C9" s="254">
        <f>'свод кредиты'!G9/1000</f>
        <v>0</v>
      </c>
      <c r="D9" s="254">
        <f>'свод кредиты'!H9/1000</f>
        <v>0</v>
      </c>
      <c r="E9" s="254">
        <f>'свод кредиты'!I9/1000</f>
        <v>2175.5704505707795</v>
      </c>
      <c r="F9" s="254">
        <f>'свод кредиты'!J9/1000</f>
        <v>2805.7264377853944</v>
      </c>
      <c r="G9" s="254">
        <f>'свод кредиты'!K9/1000</f>
        <v>3419.3996880137497</v>
      </c>
      <c r="H9" s="254">
        <f>'свод кредиты'!L9/1000</f>
        <v>22467.192939583387</v>
      </c>
      <c r="I9" s="254">
        <f>'свод кредиты'!M9/1000</f>
        <v>37584.931696832231</v>
      </c>
      <c r="J9" s="254">
        <f>'свод кредиты'!N9/1000</f>
        <v>35844.004384332206</v>
      </c>
      <c r="K9" s="254">
        <f>'свод кредиты'!O9/1000</f>
        <v>32667.185388707192</v>
      </c>
      <c r="L9" s="254">
        <f>'свод кредиты'!P9/1000</f>
        <v>28290.468400671682</v>
      </c>
      <c r="M9" s="254">
        <f>'свод кредиты'!Q9/1000</f>
        <v>23904.721551207207</v>
      </c>
      <c r="N9" s="254">
        <f>'свод кредиты'!R9/1000</f>
        <v>19523.489632457218</v>
      </c>
      <c r="O9" s="254">
        <f>'свод кредиты'!S9/1000</f>
        <v>15142.257713707229</v>
      </c>
      <c r="P9" s="254">
        <f>'свод кредиты'!T9/1000</f>
        <v>10765.540725671723</v>
      </c>
      <c r="Q9" s="254">
        <f>'свод кредиты'!U9/1000</f>
        <v>6379.7938762072445</v>
      </c>
      <c r="R9" s="254">
        <f>'свод кредиты'!V9/1000</f>
        <v>1998.561957457244</v>
      </c>
      <c r="S9" s="254">
        <f t="shared" si="10"/>
        <v>242968.84484320445</v>
      </c>
      <c r="T9" s="259"/>
    </row>
    <row r="10" spans="1:20" ht="15">
      <c r="A10" s="251">
        <v>8</v>
      </c>
      <c r="B10" s="252" t="s">
        <v>261</v>
      </c>
      <c r="C10" s="254">
        <f t="shared" ref="C10:L10" si="13">C9</f>
        <v>0</v>
      </c>
      <c r="D10" s="254">
        <f t="shared" si="13"/>
        <v>0</v>
      </c>
      <c r="E10" s="254">
        <f t="shared" si="13"/>
        <v>2175.5704505707795</v>
      </c>
      <c r="F10" s="254">
        <f t="shared" si="13"/>
        <v>2805.7264377853944</v>
      </c>
      <c r="G10" s="254">
        <f t="shared" si="13"/>
        <v>3419.3996880137497</v>
      </c>
      <c r="H10" s="254">
        <f t="shared" ref="H10" si="14">H9</f>
        <v>22467.192939583387</v>
      </c>
      <c r="I10" s="258">
        <f t="shared" si="13"/>
        <v>37584.931696832231</v>
      </c>
      <c r="J10" s="258">
        <f t="shared" si="13"/>
        <v>35844.004384332206</v>
      </c>
      <c r="K10" s="258">
        <f t="shared" si="13"/>
        <v>32667.185388707192</v>
      </c>
      <c r="L10" s="258">
        <f t="shared" si="13"/>
        <v>28290.468400671682</v>
      </c>
      <c r="M10" s="258">
        <f t="shared" ref="M10:P10" si="15">M9</f>
        <v>23904.721551207207</v>
      </c>
      <c r="N10" s="258">
        <f t="shared" si="15"/>
        <v>19523.489632457218</v>
      </c>
      <c r="O10" s="258">
        <f t="shared" si="15"/>
        <v>15142.257713707229</v>
      </c>
      <c r="P10" s="258">
        <f t="shared" si="15"/>
        <v>10765.540725671723</v>
      </c>
      <c r="Q10" s="258">
        <f t="shared" ref="Q10:R10" si="16">Q9</f>
        <v>6379.7938762072445</v>
      </c>
      <c r="R10" s="258">
        <f t="shared" si="16"/>
        <v>1998.561957457244</v>
      </c>
      <c r="S10" s="254">
        <f t="shared" si="10"/>
        <v>242968.84484320445</v>
      </c>
      <c r="T10" s="255" t="s">
        <v>262</v>
      </c>
    </row>
    <row r="11" spans="1:20" ht="15">
      <c r="A11" s="251">
        <v>6</v>
      </c>
      <c r="B11" s="260" t="s">
        <v>263</v>
      </c>
      <c r="C11" s="261">
        <f>C8+C9-C10</f>
        <v>0</v>
      </c>
      <c r="D11" s="261">
        <v>0</v>
      </c>
      <c r="E11" s="343">
        <v>0.15</v>
      </c>
      <c r="F11" s="343">
        <f>E11</f>
        <v>0.15</v>
      </c>
      <c r="G11" s="343">
        <f>F11</f>
        <v>0.15</v>
      </c>
      <c r="H11" s="374">
        <f>G11</f>
        <v>0.15</v>
      </c>
      <c r="I11" s="341"/>
      <c r="J11" s="341">
        <f t="shared" ref="J11:Q11" si="17">K11</f>
        <v>0.03</v>
      </c>
      <c r="K11" s="341">
        <f t="shared" si="17"/>
        <v>0.03</v>
      </c>
      <c r="L11" s="341">
        <f t="shared" si="17"/>
        <v>0.03</v>
      </c>
      <c r="M11" s="341">
        <f t="shared" si="17"/>
        <v>0.03</v>
      </c>
      <c r="N11" s="341">
        <f t="shared" si="17"/>
        <v>0.03</v>
      </c>
      <c r="O11" s="341">
        <f t="shared" si="17"/>
        <v>0.03</v>
      </c>
      <c r="P11" s="341">
        <f t="shared" si="17"/>
        <v>0.03</v>
      </c>
      <c r="Q11" s="341">
        <f t="shared" si="17"/>
        <v>0.03</v>
      </c>
      <c r="R11" s="342">
        <v>0.03</v>
      </c>
      <c r="S11" s="254"/>
      <c r="T11" s="259" t="s">
        <v>264</v>
      </c>
    </row>
    <row r="12" spans="1:20" ht="15">
      <c r="A12" s="251">
        <v>9</v>
      </c>
      <c r="B12" s="262" t="s">
        <v>265</v>
      </c>
      <c r="C12" s="263"/>
      <c r="D12" s="263"/>
      <c r="E12" s="263"/>
      <c r="F12" s="263"/>
      <c r="G12" s="263"/>
      <c r="H12" s="263"/>
      <c r="I12" s="344">
        <f>I13+I14+I15</f>
        <v>11606.18208333352</v>
      </c>
      <c r="J12" s="344">
        <f t="shared" ref="J12:L12" si="18">J13+J14+J15</f>
        <v>11606.18208333352</v>
      </c>
      <c r="K12" s="344">
        <f t="shared" si="18"/>
        <v>146041.06395833334</v>
      </c>
      <c r="L12" s="344">
        <f t="shared" si="18"/>
        <v>146041.06395833334</v>
      </c>
      <c r="M12" s="344">
        <f>M13+M14+M15</f>
        <v>146041.06395833334</v>
      </c>
      <c r="N12" s="344">
        <f t="shared" ref="N12:P12" si="19">N13+N14+N15</f>
        <v>146041.06395833334</v>
      </c>
      <c r="O12" s="344">
        <f t="shared" si="19"/>
        <v>146041.06395833334</v>
      </c>
      <c r="P12" s="344">
        <f t="shared" si="19"/>
        <v>146041.06395833334</v>
      </c>
      <c r="Q12" s="344">
        <f>Q13+Q14+Q15</f>
        <v>146041.06395833334</v>
      </c>
      <c r="R12" s="344">
        <f t="shared" ref="R12:S12" si="20">R13+R14+R15</f>
        <v>146041.06395833334</v>
      </c>
      <c r="S12" s="344">
        <f t="shared" si="20"/>
        <v>1191540.8758333337</v>
      </c>
      <c r="T12" s="264"/>
    </row>
    <row r="13" spans="1:20" ht="15">
      <c r="A13" s="251">
        <v>10</v>
      </c>
      <c r="B13" s="252" t="s">
        <v>202</v>
      </c>
      <c r="C13" s="409">
        <v>0</v>
      </c>
      <c r="D13" s="409">
        <v>0</v>
      </c>
      <c r="E13" s="409">
        <v>0</v>
      </c>
      <c r="F13" s="409">
        <v>0</v>
      </c>
      <c r="G13" s="409">
        <v>0</v>
      </c>
      <c r="H13" s="409">
        <v>0</v>
      </c>
      <c r="I13" s="408">
        <f>I7</f>
        <v>11606.18208333352</v>
      </c>
      <c r="J13" s="408">
        <f t="shared" ref="J13:S13" si="21">J7</f>
        <v>11606.18208333352</v>
      </c>
      <c r="K13" s="408">
        <f t="shared" si="21"/>
        <v>146041.06395833334</v>
      </c>
      <c r="L13" s="408">
        <f t="shared" si="21"/>
        <v>146041.06395833334</v>
      </c>
      <c r="M13" s="408">
        <f t="shared" si="21"/>
        <v>146041.06395833334</v>
      </c>
      <c r="N13" s="408">
        <f t="shared" si="21"/>
        <v>146041.06395833334</v>
      </c>
      <c r="O13" s="408">
        <f t="shared" si="21"/>
        <v>146041.06395833334</v>
      </c>
      <c r="P13" s="408">
        <f t="shared" si="21"/>
        <v>146041.06395833334</v>
      </c>
      <c r="Q13" s="408">
        <f t="shared" si="21"/>
        <v>146041.06395833334</v>
      </c>
      <c r="R13" s="408">
        <f t="shared" si="21"/>
        <v>146041.06395833334</v>
      </c>
      <c r="S13" s="258">
        <f t="shared" si="21"/>
        <v>1191540.8758333337</v>
      </c>
      <c r="T13" s="265"/>
    </row>
    <row r="14" spans="1:20" ht="15">
      <c r="A14" s="251">
        <v>11</v>
      </c>
      <c r="B14" s="252" t="s">
        <v>266</v>
      </c>
      <c r="C14" s="261">
        <v>0</v>
      </c>
      <c r="D14" s="261">
        <v>0</v>
      </c>
      <c r="E14" s="261">
        <v>0</v>
      </c>
      <c r="F14" s="261">
        <v>0</v>
      </c>
      <c r="G14" s="261">
        <v>0</v>
      </c>
      <c r="H14" s="261">
        <v>0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5"/>
    </row>
    <row r="15" spans="1:20" ht="15.75" thickBot="1">
      <c r="A15" s="242">
        <v>12</v>
      </c>
      <c r="B15" s="267" t="s">
        <v>266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269"/>
      <c r="J15" s="269"/>
      <c r="K15" s="269"/>
      <c r="L15" s="269"/>
      <c r="M15" s="269"/>
      <c r="N15" s="269"/>
      <c r="O15" s="269"/>
      <c r="P15" s="269"/>
      <c r="Q15" s="269"/>
      <c r="R15" s="269"/>
      <c r="S15" s="269"/>
      <c r="T15" s="2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ИП 23-28</vt:lpstr>
      <vt:lpstr>кредит 15%</vt:lpstr>
      <vt:lpstr>кредит 3%</vt:lpstr>
      <vt:lpstr>свод кредиты</vt:lpstr>
      <vt:lpstr>график погашения</vt:lpstr>
      <vt:lpstr>'ИП 23-28'!Область_печати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2023-08-25T05:44:27Z</dcterms:modified>
</cp:coreProperties>
</file>